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embeddings/oleObject2.bin" ContentType="application/vnd.openxmlformats-officedocument.oleObject"/>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71C" lockStructure="1"/>
  <bookViews>
    <workbookView xWindow="360" yWindow="120" windowWidth="9555" windowHeight="7755" activeTab="2"/>
  </bookViews>
  <sheets>
    <sheet name="Cover" sheetId="5" r:id="rId1"/>
    <sheet name="Linear Drainage - UK Catchment" sheetId="1" r:id="rId2"/>
    <sheet name="Linear Drainage - Known Inflow" sheetId="4" r:id="rId3"/>
  </sheets>
  <definedNames>
    <definedName name="abc" localSheetId="2">'Linear Drainage - Known Inflow'!$EH$4:$EQ$16</definedName>
    <definedName name="abc">'Linear Drainage - UK Catchment'!$EH$4:$EQ$16</definedName>
    <definedName name="Channel100" localSheetId="2">'Linear Drainage - Known Inflow'!$CS$6:$CS$10</definedName>
    <definedName name="Channel100">'Linear Drainage - UK Catchment'!$CS$6:$CS$10</definedName>
    <definedName name="Channel150" localSheetId="2">'Linear Drainage - Known Inflow'!$CT$6:$CT$10</definedName>
    <definedName name="Channel150">'Linear Drainage - UK Catchment'!$CT$6:$CT$10</definedName>
    <definedName name="Channel200" localSheetId="2">'Linear Drainage - Known Inflow'!$CU$6:$CU$9</definedName>
    <definedName name="Channel200">'Linear Drainage - UK Catchment'!$CU$6:$CU$9</definedName>
    <definedName name="Channel430" localSheetId="2">'Linear Drainage - Known Inflow'!$CV$6:$CV$9</definedName>
    <definedName name="Channel430">'Linear Drainage - UK Catchment'!$CV$6:$CV$9</definedName>
    <definedName name="def" localSheetId="2">'Linear Drainage - Known Inflow'!$EH$20:$EQ$32</definedName>
    <definedName name="def">'Linear Drainage - UK Catchment'!$EH$20:$EQ$32</definedName>
    <definedName name="ghi" localSheetId="2">'Linear Drainage - Known Inflow'!$EH$68:$EQ$80</definedName>
    <definedName name="ghi">'Linear Drainage - UK Catchment'!$EH$68:$EQ$80</definedName>
    <definedName name="Hexagon" localSheetId="2">'Linear Drainage - Known Inflow'!$CQ$6:$CQ$11</definedName>
    <definedName name="Hexagon">'Linear Drainage - UK Catchment'!$CQ$6:$CQ$11</definedName>
    <definedName name="jkl" localSheetId="2">'Linear Drainage - Known Inflow'!$EH$52:$EQ$64</definedName>
    <definedName name="jkl">'Linear Drainage - UK Catchment'!$EH$52:$EQ$64</definedName>
    <definedName name="KerbDrain150" localSheetId="2">'Linear Drainage - Known Inflow'!$CW$6:$CW$9</definedName>
    <definedName name="KerbDrain150">'Linear Drainage - UK Catchment'!$CW$6:$CW$9</definedName>
    <definedName name="KerbDrain280" localSheetId="2">'Linear Drainage - Known Inflow'!$CX$6:$CX$9</definedName>
    <definedName name="KerbDrain280">'Linear Drainage - UK Catchment'!$CX$6:$CX$9</definedName>
    <definedName name="mno" localSheetId="2">'Linear Drainage - Known Inflow'!$EH$36:$EQ$48</definedName>
    <definedName name="mno">'Linear Drainage - UK Catchment'!$EH$36:$EQ$48</definedName>
    <definedName name="Oval" localSheetId="2">'Linear Drainage - Known Inflow'!$CR$6:$CR$11</definedName>
    <definedName name="Oval">'Linear Drainage - UK Catchment'!$CR$6:$CR$11</definedName>
    <definedName name="pqr" localSheetId="2">'Linear Drainage - Known Inflow'!$EH$131:$EQ$143</definedName>
    <definedName name="pqr">'Linear Drainage - UK Catchment'!$EH$131:$EQ$143</definedName>
    <definedName name="_xlnm.Print_Area" localSheetId="2">'Linear Drainage - Known Inflow'!$A$1:$AJ$154</definedName>
    <definedName name="_xlnm.Print_Area" localSheetId="1">'Linear Drainage - UK Catchment'!$A$1:$AJ$154</definedName>
    <definedName name="stu" localSheetId="2">'Linear Drainage - Known Inflow'!$EH$100:$EQ$112</definedName>
    <definedName name="stu">'Linear Drainage - UK Catchment'!$EH$100:$EQ$112</definedName>
    <definedName name="Type" localSheetId="2">'Linear Drainage - Known Inflow'!$CQ$5:$CX$5</definedName>
    <definedName name="Type">'Linear Drainage - UK Catchment'!$CQ$5:$CX$5</definedName>
    <definedName name="vw" localSheetId="2">'Linear Drainage - Known Inflow'!$EH$116:$EQ$128</definedName>
    <definedName name="vw">'Linear Drainage - UK Catchment'!$EH$116:$EQ$128</definedName>
  </definedNames>
  <calcPr calcId="145621"/>
</workbook>
</file>

<file path=xl/calcChain.xml><?xml version="1.0" encoding="utf-8"?>
<calcChain xmlns="http://schemas.openxmlformats.org/spreadsheetml/2006/main">
  <c r="CJ11" i="4" l="1"/>
  <c r="CJ11" i="1"/>
  <c r="W30" i="4"/>
  <c r="CJ12" i="4"/>
  <c r="CL12" i="4"/>
  <c r="FG12" i="4"/>
  <c r="FH12" i="4" s="1"/>
  <c r="GL12" i="4"/>
  <c r="GM12" i="4" s="1"/>
  <c r="CL11" i="4"/>
  <c r="EV11" i="4"/>
  <c r="FG11" i="4"/>
  <c r="FH11" i="4" s="1"/>
  <c r="GA11" i="4"/>
  <c r="GL11" i="4"/>
  <c r="GM11" i="4" s="1"/>
  <c r="FG10" i="4"/>
  <c r="FH10" i="4" s="1"/>
  <c r="GL10" i="4"/>
  <c r="GM10" i="4" s="1"/>
  <c r="FG13" i="4"/>
  <c r="FH13" i="4" s="1"/>
  <c r="GL13" i="4"/>
  <c r="GM13" i="4" s="1"/>
  <c r="GN12" i="4" l="1"/>
  <c r="FI12" i="4"/>
  <c r="FL10" i="4"/>
  <c r="FL12" i="4"/>
  <c r="FI13" i="4"/>
  <c r="FM13" i="4" s="1"/>
  <c r="FM12" i="4"/>
  <c r="FL13" i="4"/>
  <c r="GN13" i="4"/>
  <c r="FI10" i="4"/>
  <c r="GN11" i="4"/>
  <c r="FI11" i="4"/>
  <c r="FM11" i="4" s="1"/>
  <c r="GN10" i="4"/>
  <c r="Q76" i="4" l="1"/>
  <c r="Q75" i="4"/>
  <c r="Q74" i="4"/>
  <c r="Q73" i="4"/>
  <c r="Q72" i="4"/>
  <c r="Q71" i="4"/>
  <c r="H66" i="4"/>
  <c r="AI62" i="4"/>
  <c r="AG61" i="4"/>
  <c r="GL104" i="4"/>
  <c r="GM104" i="4" s="1"/>
  <c r="FG104" i="4"/>
  <c r="FI104" i="4" s="1"/>
  <c r="GL103" i="4"/>
  <c r="GN103" i="4" s="1"/>
  <c r="FG103" i="4"/>
  <c r="FH103" i="4" s="1"/>
  <c r="GL102" i="4"/>
  <c r="GN102" i="4" s="1"/>
  <c r="FG102" i="4"/>
  <c r="FI102" i="4" s="1"/>
  <c r="GL101" i="4"/>
  <c r="GN101" i="4" s="1"/>
  <c r="FG101" i="4"/>
  <c r="FI101" i="4" s="1"/>
  <c r="GL100" i="4"/>
  <c r="GN100" i="4" s="1"/>
  <c r="FG100" i="4"/>
  <c r="FH100" i="4" s="1"/>
  <c r="GL99" i="4"/>
  <c r="GN99" i="4" s="1"/>
  <c r="FG99" i="4"/>
  <c r="FH99" i="4" s="1"/>
  <c r="GL98" i="4"/>
  <c r="GN98" i="4" s="1"/>
  <c r="FG98" i="4"/>
  <c r="FH98" i="4" s="1"/>
  <c r="GL97" i="4"/>
  <c r="GN97" i="4" s="1"/>
  <c r="FG97" i="4"/>
  <c r="FH97" i="4" s="1"/>
  <c r="GL96" i="4"/>
  <c r="GN96" i="4" s="1"/>
  <c r="FG96" i="4"/>
  <c r="FI96" i="4" s="1"/>
  <c r="GL95" i="4"/>
  <c r="GN95" i="4" s="1"/>
  <c r="FG95" i="4"/>
  <c r="FI95" i="4" s="1"/>
  <c r="GL94" i="4"/>
  <c r="GN94" i="4" s="1"/>
  <c r="FG94" i="4"/>
  <c r="FI94" i="4" s="1"/>
  <c r="GL93" i="4"/>
  <c r="GN93" i="4" s="1"/>
  <c r="FG93" i="4"/>
  <c r="FI93" i="4" s="1"/>
  <c r="GL92" i="4"/>
  <c r="GN92" i="4" s="1"/>
  <c r="FG92" i="4"/>
  <c r="FI92" i="4" s="1"/>
  <c r="GL91" i="4"/>
  <c r="GN91" i="4" s="1"/>
  <c r="FG91" i="4"/>
  <c r="FI91" i="4" s="1"/>
  <c r="GL90" i="4"/>
  <c r="GN90" i="4" s="1"/>
  <c r="FG90" i="4"/>
  <c r="FI90" i="4" s="1"/>
  <c r="GL89" i="4"/>
  <c r="GN89" i="4" s="1"/>
  <c r="FG89" i="4"/>
  <c r="FI89" i="4" s="1"/>
  <c r="GL88" i="4"/>
  <c r="GN88" i="4" s="1"/>
  <c r="FG88" i="4"/>
  <c r="FI88" i="4" s="1"/>
  <c r="GL87" i="4"/>
  <c r="GN87" i="4" s="1"/>
  <c r="FG87" i="4"/>
  <c r="FI87" i="4" s="1"/>
  <c r="ED87" i="4"/>
  <c r="ED88" i="4" s="1"/>
  <c r="GL86" i="4"/>
  <c r="GN86" i="4" s="1"/>
  <c r="FG86" i="4"/>
  <c r="FI86" i="4" s="1"/>
  <c r="GL85" i="4"/>
  <c r="GN85" i="4" s="1"/>
  <c r="FG85" i="4"/>
  <c r="FI85" i="4" s="1"/>
  <c r="GL84" i="4"/>
  <c r="GN84" i="4" s="1"/>
  <c r="FG84" i="4"/>
  <c r="FI84" i="4" s="1"/>
  <c r="CB84" i="4"/>
  <c r="CB85" i="4" s="1"/>
  <c r="GL83" i="4"/>
  <c r="GN83" i="4" s="1"/>
  <c r="FG83" i="4"/>
  <c r="FI83" i="4" s="1"/>
  <c r="GL82" i="4"/>
  <c r="GN82" i="4" s="1"/>
  <c r="FG82" i="4"/>
  <c r="FI82" i="4" s="1"/>
  <c r="GL81" i="4"/>
  <c r="GN81" i="4" s="1"/>
  <c r="FG81" i="4"/>
  <c r="FI81" i="4" s="1"/>
  <c r="GL80" i="4"/>
  <c r="GN80" i="4" s="1"/>
  <c r="FG80" i="4"/>
  <c r="FI80" i="4" s="1"/>
  <c r="GL79" i="4"/>
  <c r="GN79" i="4" s="1"/>
  <c r="FG79" i="4"/>
  <c r="FI79" i="4" s="1"/>
  <c r="GL78" i="4"/>
  <c r="GN78" i="4" s="1"/>
  <c r="FG78" i="4"/>
  <c r="FI78" i="4" s="1"/>
  <c r="GL77" i="4"/>
  <c r="GN77" i="4" s="1"/>
  <c r="FG77" i="4"/>
  <c r="FH77" i="4" s="1"/>
  <c r="GL76" i="4"/>
  <c r="GN76" i="4" s="1"/>
  <c r="FG76" i="4"/>
  <c r="FH76" i="4" s="1"/>
  <c r="GL75" i="4"/>
  <c r="GM75" i="4" s="1"/>
  <c r="FG75" i="4"/>
  <c r="FI75" i="4" s="1"/>
  <c r="GL74" i="4"/>
  <c r="GN74" i="4" s="1"/>
  <c r="FG74" i="4"/>
  <c r="FH74" i="4" s="1"/>
  <c r="GL73" i="4"/>
  <c r="GN73" i="4" s="1"/>
  <c r="FG73" i="4"/>
  <c r="FI73" i="4" s="1"/>
  <c r="CJ73" i="4"/>
  <c r="GL72" i="4"/>
  <c r="GN72" i="4" s="1"/>
  <c r="FG72" i="4"/>
  <c r="FI72" i="4" s="1"/>
  <c r="GL71" i="4"/>
  <c r="GN71" i="4" s="1"/>
  <c r="FG71" i="4"/>
  <c r="FI71" i="4" s="1"/>
  <c r="EC71" i="4"/>
  <c r="EB71" i="4"/>
  <c r="ED71" i="4" s="1"/>
  <c r="GL70" i="4"/>
  <c r="GN70" i="4" s="1"/>
  <c r="FG70" i="4"/>
  <c r="FI70" i="4" s="1"/>
  <c r="EC70" i="4"/>
  <c r="EB70" i="4"/>
  <c r="ED70" i="4" s="1"/>
  <c r="GL69" i="4"/>
  <c r="GN69" i="4" s="1"/>
  <c r="FG69" i="4"/>
  <c r="FI69" i="4" s="1"/>
  <c r="EC69" i="4"/>
  <c r="EB69" i="4"/>
  <c r="ED69" i="4" s="1"/>
  <c r="GL68" i="4"/>
  <c r="GN68" i="4" s="1"/>
  <c r="FG68" i="4"/>
  <c r="FI68" i="4" s="1"/>
  <c r="EC68" i="4"/>
  <c r="EB68" i="4"/>
  <c r="ED68" i="4" s="1"/>
  <c r="GL67" i="4"/>
  <c r="GN67" i="4" s="1"/>
  <c r="FG67" i="4"/>
  <c r="FI67" i="4" s="1"/>
  <c r="EC67" i="4"/>
  <c r="H22" i="4"/>
  <c r="EB67" i="4" s="1"/>
  <c r="ED67" i="4" s="1"/>
  <c r="GL66" i="4"/>
  <c r="GN66" i="4" s="1"/>
  <c r="FG66" i="4"/>
  <c r="FI66" i="4" s="1"/>
  <c r="EC66" i="4"/>
  <c r="H21" i="4"/>
  <c r="EB66" i="4" s="1"/>
  <c r="ED66" i="4" s="1"/>
  <c r="GL65" i="4"/>
  <c r="GN65" i="4" s="1"/>
  <c r="FG65" i="4"/>
  <c r="FI65" i="4" s="1"/>
  <c r="EC65" i="4"/>
  <c r="H20" i="4"/>
  <c r="EB65" i="4" s="1"/>
  <c r="ED65" i="4" s="1"/>
  <c r="GL64" i="4"/>
  <c r="GN64" i="4" s="1"/>
  <c r="FG64" i="4"/>
  <c r="FI64" i="4" s="1"/>
  <c r="EC64" i="4"/>
  <c r="EB64" i="4"/>
  <c r="ED64" i="4" s="1"/>
  <c r="CJ64" i="4"/>
  <c r="CJ75" i="4" s="1"/>
  <c r="GL63" i="4"/>
  <c r="GN63" i="4" s="1"/>
  <c r="FG63" i="4"/>
  <c r="FI63" i="4" s="1"/>
  <c r="EC63" i="4"/>
  <c r="EB63" i="4"/>
  <c r="ED63" i="4" s="1"/>
  <c r="GL62" i="4"/>
  <c r="GN62" i="4" s="1"/>
  <c r="FG62" i="4"/>
  <c r="FI62" i="4" s="1"/>
  <c r="ED62" i="4"/>
  <c r="GL61" i="4"/>
  <c r="GN61" i="4" s="1"/>
  <c r="FG61" i="4"/>
  <c r="FI61" i="4" s="1"/>
  <c r="P16" i="4"/>
  <c r="W31" i="4" s="1"/>
  <c r="GL60" i="4"/>
  <c r="GN60" i="4" s="1"/>
  <c r="FG60" i="4"/>
  <c r="FI60" i="4" s="1"/>
  <c r="AI15" i="4"/>
  <c r="GL59" i="4"/>
  <c r="GN59" i="4" s="1"/>
  <c r="FG59" i="4"/>
  <c r="FI59" i="4" s="1"/>
  <c r="AG14" i="4"/>
  <c r="GL58" i="4"/>
  <c r="GN58" i="4" s="1"/>
  <c r="FG58" i="4"/>
  <c r="FI58" i="4" s="1"/>
  <c r="GL57" i="4"/>
  <c r="GN57" i="4" s="1"/>
  <c r="FG57" i="4"/>
  <c r="FI57" i="4" s="1"/>
  <c r="GL56" i="4"/>
  <c r="GN56" i="4" s="1"/>
  <c r="FG56" i="4"/>
  <c r="FI56" i="4" s="1"/>
  <c r="GL55" i="4"/>
  <c r="GN55" i="4" s="1"/>
  <c r="FG55" i="4"/>
  <c r="FI55" i="4" s="1"/>
  <c r="CJ55" i="4"/>
  <c r="CJ59" i="4" s="1"/>
  <c r="GL54" i="4"/>
  <c r="GN54" i="4" s="1"/>
  <c r="FG54" i="4"/>
  <c r="FI54" i="4" s="1"/>
  <c r="M54" i="4"/>
  <c r="GL53" i="4"/>
  <c r="GN53" i="4" s="1"/>
  <c r="FG53" i="4"/>
  <c r="FI53" i="4" s="1"/>
  <c r="M53" i="4"/>
  <c r="GL52" i="4"/>
  <c r="GN52" i="4" s="1"/>
  <c r="FG52" i="4"/>
  <c r="FI52" i="4" s="1"/>
  <c r="GL51" i="4"/>
  <c r="GN51" i="4" s="1"/>
  <c r="FG51" i="4"/>
  <c r="FI51" i="4" s="1"/>
  <c r="GL50" i="4"/>
  <c r="GN50" i="4" s="1"/>
  <c r="FG50" i="4"/>
  <c r="FI50" i="4" s="1"/>
  <c r="GL49" i="4"/>
  <c r="GN49" i="4" s="1"/>
  <c r="FG49" i="4"/>
  <c r="FI49" i="4" s="1"/>
  <c r="GL48" i="4"/>
  <c r="GN48" i="4" s="1"/>
  <c r="FG48" i="4"/>
  <c r="FI48" i="4" s="1"/>
  <c r="GL47" i="4"/>
  <c r="GN47" i="4" s="1"/>
  <c r="FG47" i="4"/>
  <c r="FI47" i="4" s="1"/>
  <c r="GL46" i="4"/>
  <c r="GN46" i="4" s="1"/>
  <c r="FG46" i="4"/>
  <c r="FI46" i="4" s="1"/>
  <c r="CJ46" i="4"/>
  <c r="CJ50" i="4" s="1"/>
  <c r="GL45" i="4"/>
  <c r="GN45" i="4" s="1"/>
  <c r="FG45" i="4"/>
  <c r="FI45" i="4" s="1"/>
  <c r="GL44" i="4"/>
  <c r="GN44" i="4" s="1"/>
  <c r="FG44" i="4"/>
  <c r="FI44" i="4" s="1"/>
  <c r="GL43" i="4"/>
  <c r="GN43" i="4" s="1"/>
  <c r="FG43" i="4"/>
  <c r="FI43" i="4" s="1"/>
  <c r="GL42" i="4"/>
  <c r="GN42" i="4" s="1"/>
  <c r="FG42" i="4"/>
  <c r="FI42" i="4" s="1"/>
  <c r="GL41" i="4"/>
  <c r="GN41" i="4" s="1"/>
  <c r="FG41" i="4"/>
  <c r="FI41" i="4" s="1"/>
  <c r="GL40" i="4"/>
  <c r="GN40" i="4" s="1"/>
  <c r="FG40" i="4"/>
  <c r="FI40" i="4" s="1"/>
  <c r="GL39" i="4"/>
  <c r="GN39" i="4" s="1"/>
  <c r="FG39" i="4"/>
  <c r="FI39" i="4" s="1"/>
  <c r="GL38" i="4"/>
  <c r="GN38" i="4" s="1"/>
  <c r="FG38" i="4"/>
  <c r="FI38" i="4" s="1"/>
  <c r="GL37" i="4"/>
  <c r="GN37" i="4" s="1"/>
  <c r="FG37" i="4"/>
  <c r="FI37" i="4" s="1"/>
  <c r="CJ37" i="4"/>
  <c r="GL36" i="4"/>
  <c r="GN36" i="4" s="1"/>
  <c r="FG36" i="4"/>
  <c r="FI36" i="4" s="1"/>
  <c r="GL35" i="4"/>
  <c r="GN35" i="4" s="1"/>
  <c r="FG35" i="4"/>
  <c r="FI35" i="4" s="1"/>
  <c r="GL34" i="4"/>
  <c r="GN34" i="4" s="1"/>
  <c r="FG34" i="4"/>
  <c r="FI34" i="4" s="1"/>
  <c r="GL33" i="4"/>
  <c r="GN33" i="4" s="1"/>
  <c r="FG33" i="4"/>
  <c r="FI33" i="4" s="1"/>
  <c r="GL32" i="4"/>
  <c r="GN32" i="4" s="1"/>
  <c r="FG32" i="4"/>
  <c r="FI32" i="4" s="1"/>
  <c r="GL31" i="4"/>
  <c r="GN31" i="4" s="1"/>
  <c r="FG31" i="4"/>
  <c r="FH31" i="4" s="1"/>
  <c r="CJ31" i="4"/>
  <c r="GL30" i="4"/>
  <c r="GN30" i="4" s="1"/>
  <c r="FG30" i="4"/>
  <c r="FH30" i="4" s="1"/>
  <c r="CJ30" i="4"/>
  <c r="GL29" i="4"/>
  <c r="GN29" i="4" s="1"/>
  <c r="FG29" i="4"/>
  <c r="FH29" i="4" s="1"/>
  <c r="GL28" i="4"/>
  <c r="GM28" i="4" s="1"/>
  <c r="FG28" i="4"/>
  <c r="FI28" i="4" s="1"/>
  <c r="GL27" i="4"/>
  <c r="GM27" i="4" s="1"/>
  <c r="FG27" i="4"/>
  <c r="FI27" i="4" s="1"/>
  <c r="GL26" i="4"/>
  <c r="GN26" i="4" s="1"/>
  <c r="FG26" i="4"/>
  <c r="FH26" i="4" s="1"/>
  <c r="CT26" i="4"/>
  <c r="CO33" i="4" s="1"/>
  <c r="CS26" i="4"/>
  <c r="CO26" i="4" s="1"/>
  <c r="GL25" i="4"/>
  <c r="GM25" i="4" s="1"/>
  <c r="FG25" i="4"/>
  <c r="FI25" i="4" s="1"/>
  <c r="CX25" i="4"/>
  <c r="CO57" i="4" s="1"/>
  <c r="CW25" i="4"/>
  <c r="CO51" i="4" s="1"/>
  <c r="CV25" i="4"/>
  <c r="CO45" i="4" s="1"/>
  <c r="CU25" i="4"/>
  <c r="CO39" i="4" s="1"/>
  <c r="CT25" i="4"/>
  <c r="CO32" i="4" s="1"/>
  <c r="CS25" i="4"/>
  <c r="CO25" i="4" s="1"/>
  <c r="GL24" i="4"/>
  <c r="GM24" i="4" s="1"/>
  <c r="FG24" i="4"/>
  <c r="FI24" i="4" s="1"/>
  <c r="CX24" i="4"/>
  <c r="CO56" i="4" s="1"/>
  <c r="CW24" i="4"/>
  <c r="CO50" i="4" s="1"/>
  <c r="CV24" i="4"/>
  <c r="CO44" i="4" s="1"/>
  <c r="CU24" i="4"/>
  <c r="CO38" i="4" s="1"/>
  <c r="CT24" i="4"/>
  <c r="CO31" i="4" s="1"/>
  <c r="CS24" i="4"/>
  <c r="CO24" i="4" s="1"/>
  <c r="GL23" i="4"/>
  <c r="GM23" i="4" s="1"/>
  <c r="FG23" i="4"/>
  <c r="FI23" i="4" s="1"/>
  <c r="CX23" i="4"/>
  <c r="CO55" i="4" s="1"/>
  <c r="CW23" i="4"/>
  <c r="CO49" i="4" s="1"/>
  <c r="CV23" i="4"/>
  <c r="CO43" i="4" s="1"/>
  <c r="CU23" i="4"/>
  <c r="CO37" i="4" s="1"/>
  <c r="CT23" i="4"/>
  <c r="CO30" i="4" s="1"/>
  <c r="CS23" i="4"/>
  <c r="CO23" i="4" s="1"/>
  <c r="GL22" i="4"/>
  <c r="GM22" i="4" s="1"/>
  <c r="FG22" i="4"/>
  <c r="FI22" i="4" s="1"/>
  <c r="EE22" i="4"/>
  <c r="CX22" i="4"/>
  <c r="CO54" i="4" s="1"/>
  <c r="CW22" i="4"/>
  <c r="CO48" i="4" s="1"/>
  <c r="CV22" i="4"/>
  <c r="CO42" i="4" s="1"/>
  <c r="CU22" i="4"/>
  <c r="CO36" i="4" s="1"/>
  <c r="CT22" i="4"/>
  <c r="CO29" i="4" s="1"/>
  <c r="CS22" i="4"/>
  <c r="CO22" i="4" s="1"/>
  <c r="GL21" i="4"/>
  <c r="GN21" i="4" s="1"/>
  <c r="FG21" i="4"/>
  <c r="FH21" i="4" s="1"/>
  <c r="GL20" i="4"/>
  <c r="GM20" i="4" s="1"/>
  <c r="FG20" i="4"/>
  <c r="FI20" i="4" s="1"/>
  <c r="ED20" i="4"/>
  <c r="GL19" i="4"/>
  <c r="GN19" i="4" s="1"/>
  <c r="FG19" i="4"/>
  <c r="FH19" i="4" s="1"/>
  <c r="GL18" i="4"/>
  <c r="GN18" i="4" s="1"/>
  <c r="FG18" i="4"/>
  <c r="FH18" i="4" s="1"/>
  <c r="GL17" i="4"/>
  <c r="GM17" i="4" s="1"/>
  <c r="FG17" i="4"/>
  <c r="FI17" i="4" s="1"/>
  <c r="GL16" i="4"/>
  <c r="GN16" i="4" s="1"/>
  <c r="FG16" i="4"/>
  <c r="FH16" i="4" s="1"/>
  <c r="GL15" i="4"/>
  <c r="GN15" i="4" s="1"/>
  <c r="FG15" i="4"/>
  <c r="FH15" i="4" s="1"/>
  <c r="GL14" i="4"/>
  <c r="GN14" i="4" s="1"/>
  <c r="FG14" i="4"/>
  <c r="FH14" i="4" s="1"/>
  <c r="CJ14" i="4"/>
  <c r="GL9" i="4"/>
  <c r="GN9" i="4" s="1"/>
  <c r="FG9" i="4"/>
  <c r="FI9" i="4" s="1"/>
  <c r="GL8" i="4"/>
  <c r="GM8" i="4" s="1"/>
  <c r="GA8" i="4"/>
  <c r="FG8" i="4"/>
  <c r="FI8" i="4" s="1"/>
  <c r="GL7" i="4"/>
  <c r="GN7" i="4" s="1"/>
  <c r="FG7" i="4"/>
  <c r="FI7" i="4" s="1"/>
  <c r="CJ7" i="4"/>
  <c r="GL6" i="4"/>
  <c r="GN6" i="4" s="1"/>
  <c r="GA6" i="4"/>
  <c r="GA10" i="4" s="1"/>
  <c r="FZ6" i="4"/>
  <c r="FZ7" i="4" s="1"/>
  <c r="FG6" i="4"/>
  <c r="FI6" i="4" s="1"/>
  <c r="EV6" i="4"/>
  <c r="EV10" i="4" s="1"/>
  <c r="FM10" i="4" s="1"/>
  <c r="EU6" i="4"/>
  <c r="EU7" i="4" s="1"/>
  <c r="GL5" i="4"/>
  <c r="GN5" i="4" s="1"/>
  <c r="GC5" i="4"/>
  <c r="FZ5" i="4"/>
  <c r="FZ11" i="4" s="1"/>
  <c r="FG5" i="4"/>
  <c r="FI5" i="4" s="1"/>
  <c r="FM5" i="4" s="1"/>
  <c r="EX5" i="4"/>
  <c r="EX6" i="4" s="1"/>
  <c r="EU5" i="4"/>
  <c r="GJ4" i="4"/>
  <c r="GJ12" i="4" s="1"/>
  <c r="GR12" i="4" s="1"/>
  <c r="GG4" i="4"/>
  <c r="GG12" i="4" s="1"/>
  <c r="FE4" i="4"/>
  <c r="FE12" i="4" s="1"/>
  <c r="FB4" i="4"/>
  <c r="FB12" i="4" s="1"/>
  <c r="EW12" i="4" l="1"/>
  <c r="EX12" i="4"/>
  <c r="GJ11" i="4"/>
  <c r="GR11" i="4" s="1"/>
  <c r="FB11" i="4"/>
  <c r="GG11" i="4"/>
  <c r="EU8" i="4"/>
  <c r="EU11" i="4"/>
  <c r="FL11" i="4" s="1"/>
  <c r="FE10" i="4"/>
  <c r="FE11" i="4"/>
  <c r="EW11" i="4"/>
  <c r="EX11" i="4"/>
  <c r="FB13" i="4"/>
  <c r="FB10" i="4"/>
  <c r="GG13" i="4"/>
  <c r="GG10" i="4"/>
  <c r="GJ13" i="4"/>
  <c r="GR13" i="4" s="1"/>
  <c r="GJ10" i="4"/>
  <c r="GR10" i="4" s="1"/>
  <c r="EX10" i="4"/>
  <c r="EW10" i="4"/>
  <c r="FE22" i="4"/>
  <c r="FE13" i="4"/>
  <c r="EW13" i="4"/>
  <c r="EX13" i="4"/>
  <c r="GM16" i="4"/>
  <c r="FH17" i="4"/>
  <c r="GN17" i="4"/>
  <c r="FI18" i="4"/>
  <c r="GM18" i="4"/>
  <c r="FI19" i="4"/>
  <c r="GM19" i="4"/>
  <c r="FH22" i="4"/>
  <c r="FH23" i="4"/>
  <c r="FL23" i="4" s="1"/>
  <c r="FH24" i="4"/>
  <c r="FH25" i="4"/>
  <c r="GM26" i="4"/>
  <c r="FH27" i="4"/>
  <c r="FL27" i="4" s="1"/>
  <c r="GM33" i="4"/>
  <c r="FH34" i="4"/>
  <c r="GM35" i="4"/>
  <c r="FH36" i="4"/>
  <c r="FH37" i="4"/>
  <c r="GM44" i="4"/>
  <c r="FH45" i="4"/>
  <c r="FH47" i="4"/>
  <c r="FL47" i="4" s="1"/>
  <c r="GM51" i="4"/>
  <c r="FH52" i="4"/>
  <c r="FL52" i="4" s="1"/>
  <c r="FH53" i="4"/>
  <c r="FH54" i="4"/>
  <c r="FL54" i="4" s="1"/>
  <c r="FH55" i="4"/>
  <c r="GM77" i="4"/>
  <c r="FH90" i="4"/>
  <c r="GM6" i="4"/>
  <c r="GM81" i="4"/>
  <c r="GM86" i="4"/>
  <c r="FH94" i="4"/>
  <c r="GM5" i="4"/>
  <c r="GM14" i="4"/>
  <c r="FH39" i="4"/>
  <c r="FL39" i="4" s="1"/>
  <c r="GM42" i="4"/>
  <c r="FH57" i="4"/>
  <c r="FL57" i="4" s="1"/>
  <c r="GM79" i="4"/>
  <c r="FH88" i="4"/>
  <c r="FL88" i="4" s="1"/>
  <c r="FH92" i="4"/>
  <c r="FH96" i="4"/>
  <c r="FL96" i="4" s="1"/>
  <c r="GM97" i="4"/>
  <c r="FI98" i="4"/>
  <c r="GM98" i="4"/>
  <c r="FH102" i="4"/>
  <c r="EX22" i="4"/>
  <c r="EW5" i="4"/>
  <c r="EW59" i="4" s="1"/>
  <c r="FH6" i="4"/>
  <c r="FL6" i="4" s="1"/>
  <c r="GM7" i="4"/>
  <c r="FH9" i="4"/>
  <c r="FL9" i="4" s="1"/>
  <c r="GM15" i="4"/>
  <c r="FH20" i="4"/>
  <c r="GM21" i="4"/>
  <c r="FH28" i="4"/>
  <c r="FL28" i="4" s="1"/>
  <c r="GM29" i="4"/>
  <c r="GM30" i="4"/>
  <c r="GM31" i="4"/>
  <c r="FH32" i="4"/>
  <c r="FL32" i="4" s="1"/>
  <c r="GM32" i="4"/>
  <c r="FH38" i="4"/>
  <c r="FH40" i="4"/>
  <c r="FL40" i="4" s="1"/>
  <c r="GM41" i="4"/>
  <c r="GM43" i="4"/>
  <c r="GM46" i="4"/>
  <c r="FH48" i="4"/>
  <c r="FL48" i="4" s="1"/>
  <c r="GM49" i="4"/>
  <c r="GM50" i="4"/>
  <c r="FH56" i="4"/>
  <c r="FL56" i="4" s="1"/>
  <c r="FH59" i="4"/>
  <c r="FH60" i="4"/>
  <c r="FH61" i="4"/>
  <c r="FH62" i="4"/>
  <c r="GM63" i="4"/>
  <c r="GM64" i="4"/>
  <c r="FH65" i="4"/>
  <c r="FH66" i="4"/>
  <c r="GM67" i="4"/>
  <c r="FH68" i="4"/>
  <c r="GM69" i="4"/>
  <c r="FH70" i="4"/>
  <c r="GM71" i="4"/>
  <c r="FH72" i="4"/>
  <c r="FH73" i="4"/>
  <c r="GM74" i="4"/>
  <c r="FH75" i="4"/>
  <c r="FL75" i="4" s="1"/>
  <c r="GN75" i="4"/>
  <c r="FI76" i="4"/>
  <c r="GM76" i="4"/>
  <c r="GM78" i="4"/>
  <c r="GM80" i="4"/>
  <c r="GM82" i="4"/>
  <c r="FH83" i="4"/>
  <c r="FL83" i="4" s="1"/>
  <c r="FH84" i="4"/>
  <c r="GM85" i="4"/>
  <c r="FH87" i="4"/>
  <c r="FL87" i="4" s="1"/>
  <c r="FH89" i="4"/>
  <c r="FH91" i="4"/>
  <c r="FL91" i="4" s="1"/>
  <c r="FH93" i="4"/>
  <c r="FL93" i="4" s="1"/>
  <c r="FH95" i="4"/>
  <c r="FL95" i="4" s="1"/>
  <c r="GM99" i="4"/>
  <c r="FH101" i="4"/>
  <c r="CJ47" i="4"/>
  <c r="W68" i="4"/>
  <c r="FB29" i="4"/>
  <c r="FB26" i="4"/>
  <c r="FB21" i="4"/>
  <c r="FB19" i="4"/>
  <c r="FB18" i="4"/>
  <c r="FB16" i="4"/>
  <c r="FB15" i="4"/>
  <c r="FB14" i="4"/>
  <c r="FB28" i="4"/>
  <c r="FB27" i="4"/>
  <c r="FB25" i="4"/>
  <c r="FB24" i="4"/>
  <c r="GG28" i="4"/>
  <c r="GG27" i="4"/>
  <c r="GG25" i="4"/>
  <c r="GG24" i="4"/>
  <c r="GG23" i="4"/>
  <c r="GG22" i="4"/>
  <c r="GG20" i="4"/>
  <c r="GG17" i="4"/>
  <c r="GG29" i="4"/>
  <c r="GG26" i="4"/>
  <c r="GJ28" i="4"/>
  <c r="GR28" i="4" s="1"/>
  <c r="GJ27" i="4"/>
  <c r="GJ25" i="4"/>
  <c r="GR25" i="4" s="1"/>
  <c r="GJ24" i="4"/>
  <c r="GJ23" i="4"/>
  <c r="GR23" i="4" s="1"/>
  <c r="GJ22" i="4"/>
  <c r="GR22" i="4" s="1"/>
  <c r="GJ20" i="4"/>
  <c r="GR20" i="4" s="1"/>
  <c r="GJ17" i="4"/>
  <c r="GR17" i="4" s="1"/>
  <c r="GJ29" i="4"/>
  <c r="GR29" i="4" s="1"/>
  <c r="GJ26" i="4"/>
  <c r="GR26" i="4" s="1"/>
  <c r="GC59" i="4"/>
  <c r="GC58" i="4"/>
  <c r="GG5" i="4"/>
  <c r="GJ5" i="4"/>
  <c r="GR5" i="4" s="1"/>
  <c r="GC6" i="4"/>
  <c r="GG6" i="4"/>
  <c r="GJ6" i="4"/>
  <c r="GR6" i="4" s="1"/>
  <c r="GA7" i="4"/>
  <c r="GA9" i="4" s="1"/>
  <c r="GG7" i="4"/>
  <c r="GJ7" i="4"/>
  <c r="GR7" i="4" s="1"/>
  <c r="FZ8" i="4"/>
  <c r="GN8" i="4"/>
  <c r="FB9" i="4"/>
  <c r="FE9" i="4"/>
  <c r="FA4" i="4"/>
  <c r="FA12" i="4" s="1"/>
  <c r="FD4" i="4"/>
  <c r="FD12" i="4" s="1"/>
  <c r="GF4" i="4"/>
  <c r="GF12" i="4" s="1"/>
  <c r="GI4" i="4"/>
  <c r="GI12" i="4" s="1"/>
  <c r="GQ12" i="4" s="1"/>
  <c r="EX59" i="4"/>
  <c r="EX58" i="4"/>
  <c r="FB5" i="4"/>
  <c r="FE5" i="4"/>
  <c r="FH5" i="4"/>
  <c r="FL5" i="4" s="1"/>
  <c r="FM6" i="4"/>
  <c r="EV7" i="4"/>
  <c r="EV9" i="4" s="1"/>
  <c r="EX7" i="4"/>
  <c r="EW6" i="4" s="1"/>
  <c r="FB7" i="4"/>
  <c r="FE7" i="4"/>
  <c r="FH7" i="4"/>
  <c r="FL7" i="4" s="1"/>
  <c r="EV8" i="4"/>
  <c r="FM8" i="4" s="1"/>
  <c r="EX8" i="4"/>
  <c r="FB8" i="4"/>
  <c r="FE8" i="4"/>
  <c r="FH8" i="4"/>
  <c r="FL8" i="4" s="1"/>
  <c r="GG8" i="4"/>
  <c r="GJ8" i="4"/>
  <c r="GR8" i="4" s="1"/>
  <c r="EW9" i="4"/>
  <c r="FM9" i="4"/>
  <c r="GG9" i="4"/>
  <c r="GJ9" i="4"/>
  <c r="GR9" i="4" s="1"/>
  <c r="GM9" i="4"/>
  <c r="GQ104" i="4"/>
  <c r="GR103" i="4"/>
  <c r="GR102" i="4"/>
  <c r="GR101" i="4"/>
  <c r="GR100" i="4"/>
  <c r="GR99" i="4"/>
  <c r="GR98" i="4"/>
  <c r="GR97" i="4"/>
  <c r="GR104" i="4"/>
  <c r="GQ103" i="4"/>
  <c r="GQ102" i="4"/>
  <c r="GQ101" i="4"/>
  <c r="GQ100" i="4"/>
  <c r="GQ99" i="4"/>
  <c r="GQ98" i="4"/>
  <c r="GR96" i="4"/>
  <c r="GR95" i="4"/>
  <c r="GR94" i="4"/>
  <c r="GR93" i="4"/>
  <c r="GR92" i="4"/>
  <c r="GR91" i="4"/>
  <c r="GR90" i="4"/>
  <c r="GR89" i="4"/>
  <c r="GR88" i="4"/>
  <c r="GR87" i="4"/>
  <c r="GQ86" i="4"/>
  <c r="GQ85" i="4"/>
  <c r="GR84" i="4"/>
  <c r="GR83" i="4"/>
  <c r="GQ82" i="4"/>
  <c r="GQ81" i="4"/>
  <c r="GQ80" i="4"/>
  <c r="GQ79" i="4"/>
  <c r="GQ78" i="4"/>
  <c r="GQ77" i="4"/>
  <c r="GQ97" i="4"/>
  <c r="GQ96" i="4"/>
  <c r="GQ95" i="4"/>
  <c r="GQ94" i="4"/>
  <c r="GQ93" i="4"/>
  <c r="GQ92" i="4"/>
  <c r="GQ91" i="4"/>
  <c r="GQ90" i="4"/>
  <c r="GQ89" i="4"/>
  <c r="GQ88" i="4"/>
  <c r="GQ87" i="4"/>
  <c r="GR86" i="4"/>
  <c r="GR85" i="4"/>
  <c r="GQ84" i="4"/>
  <c r="GQ83" i="4"/>
  <c r="GR82" i="4"/>
  <c r="GR81" i="4"/>
  <c r="GR80" i="4"/>
  <c r="GR79" i="4"/>
  <c r="GR78" i="4"/>
  <c r="GR77" i="4"/>
  <c r="GR76" i="4"/>
  <c r="GQ75" i="4"/>
  <c r="GR74" i="4"/>
  <c r="GQ76" i="4"/>
  <c r="GR73" i="4"/>
  <c r="GR72" i="4"/>
  <c r="GQ71" i="4"/>
  <c r="GR70" i="4"/>
  <c r="GQ69" i="4"/>
  <c r="GR68" i="4"/>
  <c r="GQ67" i="4"/>
  <c r="GR66" i="4"/>
  <c r="GR65" i="4"/>
  <c r="GQ64" i="4"/>
  <c r="GQ63" i="4"/>
  <c r="GR62" i="4"/>
  <c r="GR61" i="4"/>
  <c r="GR60" i="4"/>
  <c r="GR59" i="4"/>
  <c r="GR58" i="4"/>
  <c r="GR57" i="4"/>
  <c r="GR56" i="4"/>
  <c r="GR55" i="4"/>
  <c r="GR54" i="4"/>
  <c r="GR53" i="4"/>
  <c r="GR52" i="4"/>
  <c r="GQ51" i="4"/>
  <c r="GQ50" i="4"/>
  <c r="GQ49" i="4"/>
  <c r="GR48" i="4"/>
  <c r="GR47" i="4"/>
  <c r="GQ46" i="4"/>
  <c r="GR45" i="4"/>
  <c r="GQ44" i="4"/>
  <c r="GQ43" i="4"/>
  <c r="GQ42" i="4"/>
  <c r="GQ41" i="4"/>
  <c r="GR40" i="4"/>
  <c r="GR39" i="4"/>
  <c r="GR38" i="4"/>
  <c r="GR37" i="4"/>
  <c r="GR36" i="4"/>
  <c r="GQ35" i="4"/>
  <c r="GR34" i="4"/>
  <c r="GQ33" i="4"/>
  <c r="GQ32" i="4"/>
  <c r="GR31" i="4"/>
  <c r="GR30" i="4"/>
  <c r="CJ21" i="4"/>
  <c r="CJ22" i="4" s="1"/>
  <c r="CJ23" i="4" s="1"/>
  <c r="GR75" i="4"/>
  <c r="GQ74" i="4"/>
  <c r="GQ73" i="4"/>
  <c r="GQ72" i="4"/>
  <c r="GR71" i="4"/>
  <c r="GQ70" i="4"/>
  <c r="GR69" i="4"/>
  <c r="GQ68" i="4"/>
  <c r="GR67" i="4"/>
  <c r="GQ66" i="4"/>
  <c r="GQ65" i="4"/>
  <c r="GR64" i="4"/>
  <c r="GR63" i="4"/>
  <c r="GQ62" i="4"/>
  <c r="GQ61" i="4"/>
  <c r="GQ60" i="4"/>
  <c r="GQ59" i="4"/>
  <c r="GQ58" i="4"/>
  <c r="GQ57" i="4"/>
  <c r="GQ56" i="4"/>
  <c r="GQ55" i="4"/>
  <c r="GQ54" i="4"/>
  <c r="GQ53" i="4"/>
  <c r="GQ52" i="4"/>
  <c r="GR51" i="4"/>
  <c r="GR50" i="4"/>
  <c r="GR49" i="4"/>
  <c r="GQ48" i="4"/>
  <c r="GQ47" i="4"/>
  <c r="GR46" i="4"/>
  <c r="GQ45" i="4"/>
  <c r="GR44" i="4"/>
  <c r="GR43" i="4"/>
  <c r="GR42" i="4"/>
  <c r="GR41" i="4"/>
  <c r="GQ40" i="4"/>
  <c r="GQ39" i="4"/>
  <c r="GQ38" i="4"/>
  <c r="GQ37" i="4"/>
  <c r="GQ36" i="4"/>
  <c r="GR35" i="4"/>
  <c r="GQ34" i="4"/>
  <c r="GR33" i="4"/>
  <c r="GR32" i="4"/>
  <c r="GQ31" i="4"/>
  <c r="GQ30" i="4"/>
  <c r="GR27" i="4"/>
  <c r="GR24" i="4"/>
  <c r="EW14" i="4"/>
  <c r="FI14" i="4"/>
  <c r="FM14" i="4" s="1"/>
  <c r="GG14" i="4"/>
  <c r="EW15" i="4"/>
  <c r="FI15" i="4"/>
  <c r="GJ15" i="4"/>
  <c r="GR15" i="4" s="1"/>
  <c r="EW16" i="4"/>
  <c r="FI16" i="4"/>
  <c r="FM16" i="4" s="1"/>
  <c r="GJ16" i="4"/>
  <c r="GR16" i="4" s="1"/>
  <c r="CJ17" i="4"/>
  <c r="CI18" i="4" s="1"/>
  <c r="FB17" i="4"/>
  <c r="FL17" i="4"/>
  <c r="FM18" i="4"/>
  <c r="GG18" i="4"/>
  <c r="FM19" i="4"/>
  <c r="GG19" i="4"/>
  <c r="EX20" i="4"/>
  <c r="FE20" i="4"/>
  <c r="GN20" i="4"/>
  <c r="EW21" i="4"/>
  <c r="FI21" i="4"/>
  <c r="FM21" i="4" s="1"/>
  <c r="GJ21" i="4"/>
  <c r="GR21" i="4" s="1"/>
  <c r="GN22" i="4"/>
  <c r="FB23" i="4"/>
  <c r="FE29" i="4"/>
  <c r="FE26" i="4"/>
  <c r="FE21" i="4"/>
  <c r="FE19" i="4"/>
  <c r="FE18" i="4"/>
  <c r="FE16" i="4"/>
  <c r="FE15" i="4"/>
  <c r="FE14" i="4"/>
  <c r="FE28" i="4"/>
  <c r="FE27" i="4"/>
  <c r="FE25" i="4"/>
  <c r="FE24" i="4"/>
  <c r="EX57" i="4"/>
  <c r="EX56" i="4"/>
  <c r="EX55" i="4"/>
  <c r="EX54" i="4"/>
  <c r="EX53" i="4"/>
  <c r="EX52" i="4"/>
  <c r="EW51" i="4"/>
  <c r="EW50" i="4"/>
  <c r="EW49" i="4"/>
  <c r="EX48" i="4"/>
  <c r="EX47" i="4"/>
  <c r="EW46" i="4"/>
  <c r="EX45" i="4"/>
  <c r="EW44" i="4"/>
  <c r="EW43" i="4"/>
  <c r="EW42" i="4"/>
  <c r="EW41" i="4"/>
  <c r="EX40" i="4"/>
  <c r="EX39" i="4"/>
  <c r="EX38" i="4"/>
  <c r="EX37" i="4"/>
  <c r="EX36" i="4"/>
  <c r="EW35" i="4"/>
  <c r="EX34" i="4"/>
  <c r="EW33" i="4"/>
  <c r="EW32" i="4"/>
  <c r="EX31" i="4"/>
  <c r="EX30" i="4"/>
  <c r="EX29" i="4"/>
  <c r="EW28" i="4"/>
  <c r="EW27" i="4"/>
  <c r="EX26" i="4"/>
  <c r="EW25" i="4"/>
  <c r="EW24" i="4"/>
  <c r="EW23" i="4"/>
  <c r="EW22" i="4"/>
  <c r="EX21" i="4"/>
  <c r="EW20" i="4"/>
  <c r="EX19" i="4"/>
  <c r="EX18" i="4"/>
  <c r="EW17" i="4"/>
  <c r="EX16" i="4"/>
  <c r="EX15" i="4"/>
  <c r="EX14" i="4"/>
  <c r="EW57" i="4"/>
  <c r="EW56" i="4"/>
  <c r="EW55" i="4"/>
  <c r="EW54" i="4"/>
  <c r="EW53" i="4"/>
  <c r="EW52" i="4"/>
  <c r="EX51" i="4"/>
  <c r="EX50" i="4"/>
  <c r="EX49" i="4"/>
  <c r="EW48" i="4"/>
  <c r="EW47" i="4"/>
  <c r="EX46" i="4"/>
  <c r="EW45" i="4"/>
  <c r="EX44" i="4"/>
  <c r="EX43" i="4"/>
  <c r="EX42" i="4"/>
  <c r="EX41" i="4"/>
  <c r="EW40" i="4"/>
  <c r="EW39" i="4"/>
  <c r="EW38" i="4"/>
  <c r="EW37" i="4"/>
  <c r="EW36" i="4"/>
  <c r="EX35" i="4"/>
  <c r="EW34" i="4"/>
  <c r="EX33" i="4"/>
  <c r="EX32" i="4"/>
  <c r="EW31" i="4"/>
  <c r="EW30" i="4"/>
  <c r="EW29" i="4"/>
  <c r="EX28" i="4"/>
  <c r="EX27" i="4"/>
  <c r="EW26" i="4"/>
  <c r="EX25" i="4"/>
  <c r="EX24" i="4"/>
  <c r="FB6" i="4"/>
  <c r="FE6" i="4"/>
  <c r="EW7" i="4"/>
  <c r="EW8" i="4"/>
  <c r="EX9" i="4"/>
  <c r="FM104" i="4"/>
  <c r="FL103" i="4"/>
  <c r="FL102" i="4"/>
  <c r="FL101" i="4"/>
  <c r="FL100" i="4"/>
  <c r="FL99" i="4"/>
  <c r="FL98" i="4"/>
  <c r="FL97" i="4"/>
  <c r="FM102" i="4"/>
  <c r="FM101" i="4"/>
  <c r="FM98" i="4"/>
  <c r="FL94" i="4"/>
  <c r="FL92" i="4"/>
  <c r="FL90" i="4"/>
  <c r="FL89" i="4"/>
  <c r="FM86" i="4"/>
  <c r="FM85" i="4"/>
  <c r="FL84" i="4"/>
  <c r="FM82" i="4"/>
  <c r="FM81" i="4"/>
  <c r="FM80" i="4"/>
  <c r="FM79" i="4"/>
  <c r="FM78" i="4"/>
  <c r="FM96" i="4"/>
  <c r="FM95" i="4"/>
  <c r="FM94" i="4"/>
  <c r="FM93" i="4"/>
  <c r="FM92" i="4"/>
  <c r="FM91" i="4"/>
  <c r="FM90" i="4"/>
  <c r="FM89" i="4"/>
  <c r="FM88" i="4"/>
  <c r="FM87" i="4"/>
  <c r="FM84" i="4"/>
  <c r="FM83" i="4"/>
  <c r="FL77" i="4"/>
  <c r="FL76" i="4"/>
  <c r="FM75" i="4"/>
  <c r="FL74" i="4"/>
  <c r="FL73" i="4"/>
  <c r="FL72" i="4"/>
  <c r="FM71" i="4"/>
  <c r="FL70" i="4"/>
  <c r="FM69" i="4"/>
  <c r="FL68" i="4"/>
  <c r="FM67" i="4"/>
  <c r="FL66" i="4"/>
  <c r="FL65" i="4"/>
  <c r="FM64" i="4"/>
  <c r="FM63" i="4"/>
  <c r="FL62" i="4"/>
  <c r="FL61" i="4"/>
  <c r="FL60" i="4"/>
  <c r="FL59" i="4"/>
  <c r="FM58" i="4"/>
  <c r="FL55" i="4"/>
  <c r="FL53" i="4"/>
  <c r="FM51" i="4"/>
  <c r="FM50" i="4"/>
  <c r="FM49" i="4"/>
  <c r="FM46" i="4"/>
  <c r="FL45" i="4"/>
  <c r="FM44" i="4"/>
  <c r="FM43" i="4"/>
  <c r="FM42" i="4"/>
  <c r="FM41" i="4"/>
  <c r="FL38" i="4"/>
  <c r="FL37" i="4"/>
  <c r="FL36" i="4"/>
  <c r="FM35" i="4"/>
  <c r="FL34" i="4"/>
  <c r="FM33" i="4"/>
  <c r="FM32" i="4"/>
  <c r="FL31" i="4"/>
  <c r="FL30" i="4"/>
  <c r="FL29" i="4"/>
  <c r="FM28" i="4"/>
  <c r="FM27" i="4"/>
  <c r="FL26" i="4"/>
  <c r="FM25" i="4"/>
  <c r="FM24" i="4"/>
  <c r="FM23" i="4"/>
  <c r="FM22" i="4"/>
  <c r="FL21" i="4"/>
  <c r="FM20" i="4"/>
  <c r="FL19" i="4"/>
  <c r="FL18" i="4"/>
  <c r="FM17" i="4"/>
  <c r="FL16" i="4"/>
  <c r="FL15" i="4"/>
  <c r="FL14" i="4"/>
  <c r="FM76" i="4"/>
  <c r="FM73" i="4"/>
  <c r="FM72" i="4"/>
  <c r="FM70" i="4"/>
  <c r="FM68" i="4"/>
  <c r="FM66" i="4"/>
  <c r="FM65" i="4"/>
  <c r="FM62" i="4"/>
  <c r="FM61" i="4"/>
  <c r="FM60" i="4"/>
  <c r="FM59" i="4"/>
  <c r="FM57" i="4"/>
  <c r="FM56" i="4"/>
  <c r="FM55" i="4"/>
  <c r="FM54" i="4"/>
  <c r="FM53" i="4"/>
  <c r="FM52" i="4"/>
  <c r="FM48" i="4"/>
  <c r="FM47" i="4"/>
  <c r="FM45" i="4"/>
  <c r="FM40" i="4"/>
  <c r="FM39" i="4"/>
  <c r="FM38" i="4"/>
  <c r="FM37" i="4"/>
  <c r="FM36" i="4"/>
  <c r="FM34" i="4"/>
  <c r="FL25" i="4"/>
  <c r="FL24" i="4"/>
  <c r="CC77" i="4"/>
  <c r="GJ14" i="4"/>
  <c r="GR14" i="4" s="1"/>
  <c r="FM15" i="4"/>
  <c r="GG15" i="4"/>
  <c r="GG16" i="4"/>
  <c r="EX17" i="4"/>
  <c r="FE17" i="4"/>
  <c r="EW18" i="4"/>
  <c r="GJ18" i="4"/>
  <c r="GR18" i="4" s="1"/>
  <c r="EW19" i="4"/>
  <c r="GJ19" i="4"/>
  <c r="GR19" i="4" s="1"/>
  <c r="FB20" i="4"/>
  <c r="FL20" i="4"/>
  <c r="GG21" i="4"/>
  <c r="FB22" i="4"/>
  <c r="FL22" i="4"/>
  <c r="EX23" i="4"/>
  <c r="FE23" i="4"/>
  <c r="GN23" i="4"/>
  <c r="GN24" i="4"/>
  <c r="GN25" i="4"/>
  <c r="FI26" i="4"/>
  <c r="FM26" i="4" s="1"/>
  <c r="GN27" i="4"/>
  <c r="GN28" i="4"/>
  <c r="FI29" i="4"/>
  <c r="FM29" i="4" s="1"/>
  <c r="FI30" i="4"/>
  <c r="FM30" i="4" s="1"/>
  <c r="CJ165" i="4"/>
  <c r="CJ127" i="4"/>
  <c r="FI31" i="4"/>
  <c r="FM31" i="4" s="1"/>
  <c r="FH33" i="4"/>
  <c r="FL33" i="4" s="1"/>
  <c r="GM34" i="4"/>
  <c r="FH35" i="4"/>
  <c r="FL35" i="4" s="1"/>
  <c r="GM36" i="4"/>
  <c r="GM37" i="4"/>
  <c r="CJ38" i="4"/>
  <c r="GM38" i="4"/>
  <c r="CJ39" i="4"/>
  <c r="GM39" i="4"/>
  <c r="GM40" i="4"/>
  <c r="CJ41" i="4"/>
  <c r="FH41" i="4"/>
  <c r="FL41" i="4" s="1"/>
  <c r="FH42" i="4"/>
  <c r="FL42" i="4" s="1"/>
  <c r="FH43" i="4"/>
  <c r="FL43" i="4" s="1"/>
  <c r="FH44" i="4"/>
  <c r="FL44" i="4" s="1"/>
  <c r="GM45" i="4"/>
  <c r="FH46" i="4"/>
  <c r="FL46" i="4" s="1"/>
  <c r="GM47" i="4"/>
  <c r="CJ48" i="4"/>
  <c r="GM48" i="4"/>
  <c r="FH49" i="4"/>
  <c r="FL49" i="4" s="1"/>
  <c r="FH50" i="4"/>
  <c r="FL50" i="4" s="1"/>
  <c r="FH51" i="4"/>
  <c r="FL51" i="4" s="1"/>
  <c r="GM52" i="4"/>
  <c r="GM53" i="4"/>
  <c r="GM54" i="4"/>
  <c r="GM55" i="4"/>
  <c r="CJ56" i="4"/>
  <c r="GM56" i="4"/>
  <c r="CJ57" i="4"/>
  <c r="GM57" i="4"/>
  <c r="FH58" i="4"/>
  <c r="FL58" i="4" s="1"/>
  <c r="GM58" i="4"/>
  <c r="GM59" i="4"/>
  <c r="GM60" i="4"/>
  <c r="GM61" i="4"/>
  <c r="GM62" i="4"/>
  <c r="FH63" i="4"/>
  <c r="FL63" i="4" s="1"/>
  <c r="FH64" i="4"/>
  <c r="FL64" i="4" s="1"/>
  <c r="CJ65" i="4"/>
  <c r="GM65" i="4"/>
  <c r="CJ66" i="4"/>
  <c r="GM66" i="4"/>
  <c r="FH67" i="4"/>
  <c r="FL67" i="4" s="1"/>
  <c r="CJ68" i="4"/>
  <c r="GM68" i="4"/>
  <c r="CC69" i="4"/>
  <c r="FH69" i="4"/>
  <c r="FL69" i="4" s="1"/>
  <c r="GM70" i="4"/>
  <c r="CC71" i="4"/>
  <c r="FH71" i="4"/>
  <c r="FL71" i="4" s="1"/>
  <c r="GM72" i="4"/>
  <c r="CC73" i="4"/>
  <c r="GM73" i="4"/>
  <c r="CC74" i="4"/>
  <c r="FI74" i="4"/>
  <c r="FM74" i="4" s="1"/>
  <c r="FI77" i="4"/>
  <c r="FM77" i="4" s="1"/>
  <c r="CC80" i="4"/>
  <c r="CC79" i="4"/>
  <c r="CC78" i="4"/>
  <c r="CC76" i="4"/>
  <c r="CC83" i="4"/>
  <c r="CC84" i="4" s="1"/>
  <c r="CC75" i="4"/>
  <c r="CJ77" i="4"/>
  <c r="CC66" i="4"/>
  <c r="CC67" i="4"/>
  <c r="CC68" i="4"/>
  <c r="CC70" i="4"/>
  <c r="CC72" i="4"/>
  <c r="CJ74" i="4"/>
  <c r="FH78" i="4"/>
  <c r="FL78" i="4" s="1"/>
  <c r="FH79" i="4"/>
  <c r="FL79" i="4" s="1"/>
  <c r="FH80" i="4"/>
  <c r="FL80" i="4" s="1"/>
  <c r="FH81" i="4"/>
  <c r="FL81" i="4" s="1"/>
  <c r="FH82" i="4"/>
  <c r="FL82" i="4" s="1"/>
  <c r="GM83" i="4"/>
  <c r="GM84" i="4"/>
  <c r="FH85" i="4"/>
  <c r="FL85" i="4" s="1"/>
  <c r="FH86" i="4"/>
  <c r="FL86" i="4" s="1"/>
  <c r="GM87" i="4"/>
  <c r="EC88" i="4"/>
  <c r="GM88" i="4"/>
  <c r="GM89" i="4"/>
  <c r="GM90" i="4"/>
  <c r="GM91" i="4"/>
  <c r="GM92" i="4"/>
  <c r="GM93" i="4"/>
  <c r="GM94" i="4"/>
  <c r="GM95" i="4"/>
  <c r="GM96" i="4"/>
  <c r="FI97" i="4"/>
  <c r="FM97" i="4" s="1"/>
  <c r="FI99" i="4"/>
  <c r="FM99" i="4" s="1"/>
  <c r="FI100" i="4"/>
  <c r="FM100" i="4" s="1"/>
  <c r="GM100" i="4"/>
  <c r="GM101" i="4"/>
  <c r="GM102" i="4"/>
  <c r="FI103" i="4"/>
  <c r="FM103" i="4" s="1"/>
  <c r="GM103" i="4"/>
  <c r="FH104" i="4"/>
  <c r="FL104" i="4" s="1"/>
  <c r="GN104" i="4"/>
  <c r="CB84" i="1"/>
  <c r="CB85" i="1" s="1"/>
  <c r="CJ131" i="4" l="1"/>
  <c r="W69" i="4"/>
  <c r="FM7" i="4"/>
  <c r="FQ12" i="4" s="1"/>
  <c r="GC12" i="4"/>
  <c r="GB12" i="4"/>
  <c r="CJ83" i="4"/>
  <c r="CJ115" i="4"/>
  <c r="CJ150" i="4"/>
  <c r="CJ182" i="4"/>
  <c r="GI11" i="4"/>
  <c r="GQ11" i="4" s="1"/>
  <c r="FD11" i="4"/>
  <c r="CJ94" i="4"/>
  <c r="CJ106" i="4"/>
  <c r="CJ125" i="4"/>
  <c r="CJ139" i="4"/>
  <c r="CJ156" i="4"/>
  <c r="CJ173" i="4"/>
  <c r="GF11" i="4"/>
  <c r="FA11" i="4"/>
  <c r="FV11" i="4"/>
  <c r="GC11" i="4"/>
  <c r="GB11" i="4"/>
  <c r="GI13" i="4"/>
  <c r="GQ13" i="4" s="1"/>
  <c r="GI10" i="4"/>
  <c r="GQ10" i="4" s="1"/>
  <c r="FD13" i="4"/>
  <c r="FD10" i="4"/>
  <c r="FQ10" i="4"/>
  <c r="GF13" i="4"/>
  <c r="GF10" i="4"/>
  <c r="FA13" i="4"/>
  <c r="FA10" i="4"/>
  <c r="GC10" i="4"/>
  <c r="GB10" i="4"/>
  <c r="CJ24" i="4"/>
  <c r="CI25" i="4" s="1"/>
  <c r="CJ90" i="4"/>
  <c r="CJ104" i="4"/>
  <c r="CJ101" i="4"/>
  <c r="CJ110" i="4"/>
  <c r="CJ121" i="4"/>
  <c r="CJ147" i="4"/>
  <c r="CJ135" i="4"/>
  <c r="CJ143" i="4"/>
  <c r="CJ152" i="4"/>
  <c r="CJ160" i="4"/>
  <c r="CJ169" i="4"/>
  <c r="CJ178" i="4"/>
  <c r="FQ13" i="4"/>
  <c r="FP13" i="4"/>
  <c r="GC13" i="4"/>
  <c r="GB13" i="4"/>
  <c r="DN182" i="4"/>
  <c r="CJ86" i="4"/>
  <c r="CJ88" i="4"/>
  <c r="CJ92" i="4"/>
  <c r="CJ96" i="4"/>
  <c r="CJ117" i="4"/>
  <c r="CJ99" i="4"/>
  <c r="CJ103" i="4"/>
  <c r="CJ108" i="4"/>
  <c r="CJ113" i="4"/>
  <c r="CJ119" i="4"/>
  <c r="CJ123" i="4"/>
  <c r="CJ128" i="4"/>
  <c r="CJ129" i="4"/>
  <c r="CJ133" i="4"/>
  <c r="CJ137" i="4"/>
  <c r="CJ141" i="4"/>
  <c r="CJ146" i="4"/>
  <c r="CJ164" i="4"/>
  <c r="CJ154" i="4"/>
  <c r="CJ158" i="4"/>
  <c r="CJ163" i="4"/>
  <c r="CJ167" i="4"/>
  <c r="CJ171" i="4"/>
  <c r="CJ176" i="4"/>
  <c r="CJ180" i="4"/>
  <c r="CJ34" i="4"/>
  <c r="CJ85" i="4"/>
  <c r="CJ87" i="4"/>
  <c r="CJ84" i="4"/>
  <c r="CJ89" i="4"/>
  <c r="CJ91" i="4"/>
  <c r="CJ93" i="4"/>
  <c r="CJ95" i="4"/>
  <c r="CJ97" i="4"/>
  <c r="CJ112" i="4"/>
  <c r="CJ118" i="4"/>
  <c r="CJ98" i="4"/>
  <c r="CJ100" i="4"/>
  <c r="CJ102" i="4"/>
  <c r="CJ105" i="4"/>
  <c r="CJ107" i="4"/>
  <c r="CJ109" i="4"/>
  <c r="CJ111" i="4"/>
  <c r="CJ114" i="4"/>
  <c r="CJ116" i="4"/>
  <c r="CJ120" i="4"/>
  <c r="CJ122" i="4"/>
  <c r="CJ124" i="4"/>
  <c r="CJ126" i="4"/>
  <c r="CJ145" i="4"/>
  <c r="CJ149" i="4"/>
  <c r="CJ130" i="4"/>
  <c r="CJ132" i="4"/>
  <c r="CJ134" i="4"/>
  <c r="CJ136" i="4"/>
  <c r="CJ138" i="4"/>
  <c r="CJ140" i="4"/>
  <c r="CJ142" i="4"/>
  <c r="CJ144" i="4"/>
  <c r="CJ148" i="4"/>
  <c r="CJ162" i="4"/>
  <c r="CJ151" i="4"/>
  <c r="CJ153" i="4"/>
  <c r="CJ155" i="4"/>
  <c r="CJ157" i="4"/>
  <c r="CJ159" i="4"/>
  <c r="CJ161" i="4"/>
  <c r="CJ174" i="4"/>
  <c r="CJ166" i="4"/>
  <c r="CJ168" i="4"/>
  <c r="CJ170" i="4"/>
  <c r="CJ172" i="4"/>
  <c r="CJ175" i="4"/>
  <c r="CJ177" i="4"/>
  <c r="CJ179" i="4"/>
  <c r="CJ181" i="4"/>
  <c r="CJ79" i="4"/>
  <c r="FV14" i="4"/>
  <c r="DH182" i="4"/>
  <c r="DH181" i="4"/>
  <c r="DH180" i="4"/>
  <c r="DH179" i="4"/>
  <c r="DH178" i="4"/>
  <c r="DH177" i="4"/>
  <c r="DH176" i="4"/>
  <c r="DH175" i="4"/>
  <c r="DH174" i="4"/>
  <c r="DH173" i="4"/>
  <c r="DH172" i="4"/>
  <c r="DH171" i="4"/>
  <c r="DH170" i="4"/>
  <c r="DH169" i="4"/>
  <c r="DH168" i="4"/>
  <c r="DH167" i="4"/>
  <c r="DH166" i="4"/>
  <c r="DH165" i="4"/>
  <c r="DH164" i="4"/>
  <c r="DH163" i="4"/>
  <c r="DH161" i="4"/>
  <c r="DH160" i="4"/>
  <c r="DH159" i="4"/>
  <c r="DH158" i="4"/>
  <c r="DH157" i="4"/>
  <c r="DH156" i="4"/>
  <c r="DH155" i="4"/>
  <c r="DH154" i="4"/>
  <c r="DH153" i="4"/>
  <c r="DH152" i="4"/>
  <c r="DH151" i="4"/>
  <c r="DH150" i="4"/>
  <c r="DH162" i="4"/>
  <c r="DH148" i="4"/>
  <c r="DH146" i="4"/>
  <c r="DH144" i="4"/>
  <c r="DH143" i="4"/>
  <c r="DH142" i="4"/>
  <c r="DH141" i="4"/>
  <c r="DH140" i="4"/>
  <c r="DH139" i="4"/>
  <c r="DH138" i="4"/>
  <c r="DH137" i="4"/>
  <c r="DH136" i="4"/>
  <c r="DH135" i="4"/>
  <c r="DH134" i="4"/>
  <c r="DH133" i="4"/>
  <c r="DH132" i="4"/>
  <c r="DH131" i="4"/>
  <c r="DH130" i="4"/>
  <c r="DH129" i="4"/>
  <c r="DH128" i="4"/>
  <c r="DH149" i="4"/>
  <c r="DH147" i="4"/>
  <c r="DH145" i="4"/>
  <c r="DH126" i="4"/>
  <c r="DH125" i="4"/>
  <c r="DH124" i="4"/>
  <c r="DH123" i="4"/>
  <c r="DH122" i="4"/>
  <c r="DH121" i="4"/>
  <c r="DH120" i="4"/>
  <c r="DH119" i="4"/>
  <c r="DH116" i="4"/>
  <c r="DH115" i="4"/>
  <c r="DH114" i="4"/>
  <c r="DH113" i="4"/>
  <c r="DH111" i="4"/>
  <c r="DH110" i="4"/>
  <c r="DH109" i="4"/>
  <c r="DH108" i="4"/>
  <c r="DH107" i="4"/>
  <c r="DH106" i="4"/>
  <c r="DH105" i="4"/>
  <c r="DH103" i="4"/>
  <c r="DH102" i="4"/>
  <c r="DH101" i="4"/>
  <c r="DH100" i="4"/>
  <c r="DH99" i="4"/>
  <c r="DH98" i="4"/>
  <c r="DH97" i="4"/>
  <c r="DH127" i="4"/>
  <c r="DH118" i="4"/>
  <c r="DH117" i="4"/>
  <c r="DH112" i="4"/>
  <c r="DH104" i="4"/>
  <c r="DH96" i="4"/>
  <c r="DH95" i="4"/>
  <c r="DH94" i="4"/>
  <c r="DH93" i="4"/>
  <c r="DH92" i="4"/>
  <c r="DH91" i="4"/>
  <c r="DH90" i="4"/>
  <c r="DH89" i="4"/>
  <c r="DH88" i="4"/>
  <c r="DH84" i="4"/>
  <c r="DH83" i="4"/>
  <c r="DH87" i="4"/>
  <c r="DH86" i="4"/>
  <c r="DH85" i="4"/>
  <c r="DB182" i="4"/>
  <c r="DB181" i="4"/>
  <c r="DB180" i="4"/>
  <c r="DB179" i="4"/>
  <c r="DB178" i="4"/>
  <c r="DB177" i="4"/>
  <c r="DB176" i="4"/>
  <c r="DB175" i="4"/>
  <c r="DB174" i="4"/>
  <c r="DB173" i="4"/>
  <c r="DB172" i="4"/>
  <c r="DB171" i="4"/>
  <c r="DB170" i="4"/>
  <c r="DB169" i="4"/>
  <c r="DB168" i="4"/>
  <c r="DB167" i="4"/>
  <c r="DB166" i="4"/>
  <c r="DB165" i="4"/>
  <c r="DB164" i="4"/>
  <c r="DB163" i="4"/>
  <c r="DB162" i="4"/>
  <c r="DB161" i="4"/>
  <c r="DB160" i="4"/>
  <c r="DB159" i="4"/>
  <c r="DB158" i="4"/>
  <c r="DB157" i="4"/>
  <c r="DB156" i="4"/>
  <c r="DB155" i="4"/>
  <c r="DB154" i="4"/>
  <c r="DB153" i="4"/>
  <c r="DB152" i="4"/>
  <c r="DB151" i="4"/>
  <c r="DB150" i="4"/>
  <c r="DB149" i="4"/>
  <c r="DB148" i="4"/>
  <c r="DB147" i="4"/>
  <c r="DB146" i="4"/>
  <c r="DB145" i="4"/>
  <c r="DB144" i="4"/>
  <c r="DB143" i="4"/>
  <c r="DB142" i="4"/>
  <c r="DB141" i="4"/>
  <c r="DB140" i="4"/>
  <c r="DB139" i="4"/>
  <c r="DB138" i="4"/>
  <c r="DB137" i="4"/>
  <c r="DB136" i="4"/>
  <c r="DB135" i="4"/>
  <c r="DB134" i="4"/>
  <c r="DB133" i="4"/>
  <c r="DB132" i="4"/>
  <c r="DB131" i="4"/>
  <c r="DB130" i="4"/>
  <c r="DB129" i="4"/>
  <c r="DB128" i="4"/>
  <c r="DB127" i="4"/>
  <c r="DB118" i="4"/>
  <c r="DB117" i="4"/>
  <c r="DB112" i="4"/>
  <c r="DB104" i="4"/>
  <c r="DB126" i="4"/>
  <c r="DB125" i="4"/>
  <c r="DB124" i="4"/>
  <c r="DB123" i="4"/>
  <c r="DB122" i="4"/>
  <c r="DB121" i="4"/>
  <c r="DB120" i="4"/>
  <c r="DB119" i="4"/>
  <c r="DB116" i="4"/>
  <c r="DB115" i="4"/>
  <c r="DB114" i="4"/>
  <c r="DB113" i="4"/>
  <c r="DB111" i="4"/>
  <c r="DB110" i="4"/>
  <c r="DB109" i="4"/>
  <c r="DB108" i="4"/>
  <c r="DB107" i="4"/>
  <c r="DB106" i="4"/>
  <c r="DB105" i="4"/>
  <c r="DB103" i="4"/>
  <c r="DB102" i="4"/>
  <c r="DB101" i="4"/>
  <c r="DB100" i="4"/>
  <c r="DB99" i="4"/>
  <c r="DB87" i="4"/>
  <c r="DB86" i="4"/>
  <c r="DB85" i="4"/>
  <c r="DB98" i="4"/>
  <c r="DB97" i="4"/>
  <c r="DB96" i="4"/>
  <c r="DB95" i="4"/>
  <c r="DB94" i="4"/>
  <c r="DB93" i="4"/>
  <c r="DB92" i="4"/>
  <c r="DB91" i="4"/>
  <c r="DB90" i="4"/>
  <c r="DB89" i="4"/>
  <c r="DB88" i="4"/>
  <c r="DB84" i="4"/>
  <c r="DB83" i="4"/>
  <c r="CP182" i="4"/>
  <c r="CP181" i="4"/>
  <c r="CP180" i="4"/>
  <c r="CP179" i="4"/>
  <c r="CP178" i="4"/>
  <c r="CP177" i="4"/>
  <c r="CP176" i="4"/>
  <c r="CP175" i="4"/>
  <c r="CP174" i="4"/>
  <c r="CP173" i="4"/>
  <c r="CP172" i="4"/>
  <c r="CP171" i="4"/>
  <c r="CP170" i="4"/>
  <c r="CP169" i="4"/>
  <c r="CP168" i="4"/>
  <c r="CP167" i="4"/>
  <c r="CP166" i="4"/>
  <c r="CP165" i="4"/>
  <c r="CP164" i="4"/>
  <c r="CP163" i="4"/>
  <c r="CP162" i="4"/>
  <c r="CP161" i="4"/>
  <c r="CP160" i="4"/>
  <c r="CP159" i="4"/>
  <c r="CP158" i="4"/>
  <c r="CP157" i="4"/>
  <c r="CP156" i="4"/>
  <c r="CP155" i="4"/>
  <c r="CP154" i="4"/>
  <c r="CP153" i="4"/>
  <c r="CP152" i="4"/>
  <c r="CP151" i="4"/>
  <c r="CP150" i="4"/>
  <c r="CP149" i="4"/>
  <c r="CP148" i="4"/>
  <c r="CP147" i="4"/>
  <c r="CP146" i="4"/>
  <c r="CP145" i="4"/>
  <c r="CP144" i="4"/>
  <c r="CP143" i="4"/>
  <c r="CP142" i="4"/>
  <c r="CP141" i="4"/>
  <c r="CP140" i="4"/>
  <c r="CP139" i="4"/>
  <c r="CP138" i="4"/>
  <c r="CP137" i="4"/>
  <c r="CP136" i="4"/>
  <c r="CP135" i="4"/>
  <c r="CP134" i="4"/>
  <c r="CP133" i="4"/>
  <c r="CP132" i="4"/>
  <c r="CP131" i="4"/>
  <c r="CP130" i="4"/>
  <c r="CP129" i="4"/>
  <c r="CP128" i="4"/>
  <c r="CP127" i="4"/>
  <c r="CP118" i="4"/>
  <c r="CP117" i="4"/>
  <c r="CP112" i="4"/>
  <c r="CP104" i="4"/>
  <c r="CP126" i="4"/>
  <c r="CP125" i="4"/>
  <c r="CP124" i="4"/>
  <c r="CP123" i="4"/>
  <c r="CP122" i="4"/>
  <c r="CP121" i="4"/>
  <c r="CP120" i="4"/>
  <c r="CP119" i="4"/>
  <c r="CP116" i="4"/>
  <c r="CP115" i="4"/>
  <c r="CP114" i="4"/>
  <c r="CP113" i="4"/>
  <c r="CP111" i="4"/>
  <c r="CP110" i="4"/>
  <c r="CP109" i="4"/>
  <c r="CP108" i="4"/>
  <c r="CP107" i="4"/>
  <c r="CP106" i="4"/>
  <c r="CP105" i="4"/>
  <c r="CP103" i="4"/>
  <c r="CP102" i="4"/>
  <c r="CP101" i="4"/>
  <c r="CP100" i="4"/>
  <c r="CP99" i="4"/>
  <c r="CP98" i="4"/>
  <c r="CP87" i="4"/>
  <c r="CP86" i="4"/>
  <c r="CP85" i="4"/>
  <c r="CP97" i="4"/>
  <c r="CP96" i="4"/>
  <c r="CP95" i="4"/>
  <c r="CP94" i="4"/>
  <c r="CP93" i="4"/>
  <c r="CP92" i="4"/>
  <c r="CP91" i="4"/>
  <c r="CP90" i="4"/>
  <c r="CP89" i="4"/>
  <c r="CP88" i="4"/>
  <c r="CP84" i="4"/>
  <c r="CP83" i="4"/>
  <c r="CJ70" i="4"/>
  <c r="CV182" i="4"/>
  <c r="CV181" i="4"/>
  <c r="CV180" i="4"/>
  <c r="CV179" i="4"/>
  <c r="CV178" i="4"/>
  <c r="CV177" i="4"/>
  <c r="CV176" i="4"/>
  <c r="CV175" i="4"/>
  <c r="CV174" i="4"/>
  <c r="CV173" i="4"/>
  <c r="CV172" i="4"/>
  <c r="CV171" i="4"/>
  <c r="CV170" i="4"/>
  <c r="CV169" i="4"/>
  <c r="CV168" i="4"/>
  <c r="CV167" i="4"/>
  <c r="CV166" i="4"/>
  <c r="CV165" i="4"/>
  <c r="CV164" i="4"/>
  <c r="CV162" i="4"/>
  <c r="CV161" i="4"/>
  <c r="CV160" i="4"/>
  <c r="CV159" i="4"/>
  <c r="CV158" i="4"/>
  <c r="CV157" i="4"/>
  <c r="CV156" i="4"/>
  <c r="CV155" i="4"/>
  <c r="CV154" i="4"/>
  <c r="CV153" i="4"/>
  <c r="CV152" i="4"/>
  <c r="CV151" i="4"/>
  <c r="CV150" i="4"/>
  <c r="CV163" i="4"/>
  <c r="CV149" i="4"/>
  <c r="CV147" i="4"/>
  <c r="CV145" i="4"/>
  <c r="CV143" i="4"/>
  <c r="CV142" i="4"/>
  <c r="CV141" i="4"/>
  <c r="CV140" i="4"/>
  <c r="CV139" i="4"/>
  <c r="CV138" i="4"/>
  <c r="CV137" i="4"/>
  <c r="CV136" i="4"/>
  <c r="CV135" i="4"/>
  <c r="CV134" i="4"/>
  <c r="CV133" i="4"/>
  <c r="CV132" i="4"/>
  <c r="CV131" i="4"/>
  <c r="CV130" i="4"/>
  <c r="CV129" i="4"/>
  <c r="CV128" i="4"/>
  <c r="CV148" i="4"/>
  <c r="CV146" i="4"/>
  <c r="CV144" i="4"/>
  <c r="CV127" i="4"/>
  <c r="CV126" i="4"/>
  <c r="CV125" i="4"/>
  <c r="CV124" i="4"/>
  <c r="CV123" i="4"/>
  <c r="CV122" i="4"/>
  <c r="CV121" i="4"/>
  <c r="CV120" i="4"/>
  <c r="CV119" i="4"/>
  <c r="CV116" i="4"/>
  <c r="CV115" i="4"/>
  <c r="CV114" i="4"/>
  <c r="CV113" i="4"/>
  <c r="CV111" i="4"/>
  <c r="CV110" i="4"/>
  <c r="CV109" i="4"/>
  <c r="CV108" i="4"/>
  <c r="CV107" i="4"/>
  <c r="CV106" i="4"/>
  <c r="CV105" i="4"/>
  <c r="CV103" i="4"/>
  <c r="CV102" i="4"/>
  <c r="CV101" i="4"/>
  <c r="CV100" i="4"/>
  <c r="CV99" i="4"/>
  <c r="CV98" i="4"/>
  <c r="CV118" i="4"/>
  <c r="CV117" i="4"/>
  <c r="CV112" i="4"/>
  <c r="CV104" i="4"/>
  <c r="CV97" i="4"/>
  <c r="CV96" i="4"/>
  <c r="CV95" i="4"/>
  <c r="CV94" i="4"/>
  <c r="CV93" i="4"/>
  <c r="CV92" i="4"/>
  <c r="CV91" i="4"/>
  <c r="CV90" i="4"/>
  <c r="CV89" i="4"/>
  <c r="CV88" i="4"/>
  <c r="CV84" i="4"/>
  <c r="CV83" i="4"/>
  <c r="CV87" i="4"/>
  <c r="CV86" i="4"/>
  <c r="CV85" i="4"/>
  <c r="DN83" i="4"/>
  <c r="DN88" i="4"/>
  <c r="DN90" i="4"/>
  <c r="DN92" i="4"/>
  <c r="DN94" i="4"/>
  <c r="DN96" i="4"/>
  <c r="DN85" i="4"/>
  <c r="DN87" i="4"/>
  <c r="DN99" i="4"/>
  <c r="DN101" i="4"/>
  <c r="DN103" i="4"/>
  <c r="DN106" i="4"/>
  <c r="DN108" i="4"/>
  <c r="DN110" i="4"/>
  <c r="DN113" i="4"/>
  <c r="DN115" i="4"/>
  <c r="DN119" i="4"/>
  <c r="DN121" i="4"/>
  <c r="DN123" i="4"/>
  <c r="DN125" i="4"/>
  <c r="DN104" i="4"/>
  <c r="DN117" i="4"/>
  <c r="DN127" i="4"/>
  <c r="DN129" i="4"/>
  <c r="DN131" i="4"/>
  <c r="DN133" i="4"/>
  <c r="DN135" i="4"/>
  <c r="DN137" i="4"/>
  <c r="DN139" i="4"/>
  <c r="DN141" i="4"/>
  <c r="DN143" i="4"/>
  <c r="DN145" i="4"/>
  <c r="DN147" i="4"/>
  <c r="DN149" i="4"/>
  <c r="DN151" i="4"/>
  <c r="DN153" i="4"/>
  <c r="DN155" i="4"/>
  <c r="DN157" i="4"/>
  <c r="DN159" i="4"/>
  <c r="DN161" i="4"/>
  <c r="DN163" i="4"/>
  <c r="DN165" i="4"/>
  <c r="DN167" i="4"/>
  <c r="DN169" i="4"/>
  <c r="DN171" i="4"/>
  <c r="DN173" i="4"/>
  <c r="DN175" i="4"/>
  <c r="DN177" i="4"/>
  <c r="DN179" i="4"/>
  <c r="DN181" i="4"/>
  <c r="CJ61" i="4"/>
  <c r="CJ43" i="4"/>
  <c r="FQ104" i="4"/>
  <c r="FP103" i="4"/>
  <c r="FP102" i="4"/>
  <c r="FP101" i="4"/>
  <c r="FP100" i="4"/>
  <c r="FP99" i="4"/>
  <c r="FP98" i="4"/>
  <c r="FP97" i="4"/>
  <c r="FP104" i="4"/>
  <c r="FQ103" i="4"/>
  <c r="FQ102" i="4"/>
  <c r="FQ101" i="4"/>
  <c r="FQ100" i="4"/>
  <c r="FQ99" i="4"/>
  <c r="FQ98" i="4"/>
  <c r="FP96" i="4"/>
  <c r="FP95" i="4"/>
  <c r="FP94" i="4"/>
  <c r="FP93" i="4"/>
  <c r="FP92" i="4"/>
  <c r="FP91" i="4"/>
  <c r="FP90" i="4"/>
  <c r="FP89" i="4"/>
  <c r="FP88" i="4"/>
  <c r="FP87" i="4"/>
  <c r="FQ86" i="4"/>
  <c r="FQ85" i="4"/>
  <c r="FP84" i="4"/>
  <c r="FP83" i="4"/>
  <c r="FQ82" i="4"/>
  <c r="FQ81" i="4"/>
  <c r="FQ80" i="4"/>
  <c r="FQ79" i="4"/>
  <c r="FQ78" i="4"/>
  <c r="FQ97" i="4"/>
  <c r="FQ96" i="4"/>
  <c r="FQ95" i="4"/>
  <c r="FQ94" i="4"/>
  <c r="FQ93" i="4"/>
  <c r="FQ92" i="4"/>
  <c r="FQ91" i="4"/>
  <c r="FQ90" i="4"/>
  <c r="FQ89" i="4"/>
  <c r="FQ88" i="4"/>
  <c r="FQ87" i="4"/>
  <c r="FP86" i="4"/>
  <c r="FP85" i="4"/>
  <c r="FQ84" i="4"/>
  <c r="FQ83" i="4"/>
  <c r="FP82" i="4"/>
  <c r="FP81" i="4"/>
  <c r="FP80" i="4"/>
  <c r="FP79" i="4"/>
  <c r="FP78" i="4"/>
  <c r="FP77" i="4"/>
  <c r="FP76" i="4"/>
  <c r="FQ75" i="4"/>
  <c r="FP74" i="4"/>
  <c r="FQ76" i="4"/>
  <c r="FP73" i="4"/>
  <c r="FP72" i="4"/>
  <c r="FQ71" i="4"/>
  <c r="FP70" i="4"/>
  <c r="FQ69" i="4"/>
  <c r="FP68" i="4"/>
  <c r="FQ67" i="4"/>
  <c r="FP66" i="4"/>
  <c r="FP65" i="4"/>
  <c r="FQ64" i="4"/>
  <c r="FQ63" i="4"/>
  <c r="FP62" i="4"/>
  <c r="FP61" i="4"/>
  <c r="FP60" i="4"/>
  <c r="FP59" i="4"/>
  <c r="FQ58" i="4"/>
  <c r="FP57" i="4"/>
  <c r="FP56" i="4"/>
  <c r="FP55" i="4"/>
  <c r="FP54" i="4"/>
  <c r="FP53" i="4"/>
  <c r="FP52" i="4"/>
  <c r="FQ51" i="4"/>
  <c r="FQ50" i="4"/>
  <c r="FQ49" i="4"/>
  <c r="FP48" i="4"/>
  <c r="FP47" i="4"/>
  <c r="FQ46" i="4"/>
  <c r="FP45" i="4"/>
  <c r="FQ44" i="4"/>
  <c r="FQ43" i="4"/>
  <c r="FQ42" i="4"/>
  <c r="FQ41" i="4"/>
  <c r="FP40" i="4"/>
  <c r="FP39" i="4"/>
  <c r="FP38" i="4"/>
  <c r="FP37" i="4"/>
  <c r="FP36" i="4"/>
  <c r="FQ35" i="4"/>
  <c r="FP34" i="4"/>
  <c r="FQ33" i="4"/>
  <c r="FQ32" i="4"/>
  <c r="FP31" i="4"/>
  <c r="FP30" i="4"/>
  <c r="FP29" i="4"/>
  <c r="FQ28" i="4"/>
  <c r="FQ27" i="4"/>
  <c r="FP26" i="4"/>
  <c r="FQ25" i="4"/>
  <c r="FQ24" i="4"/>
  <c r="FQ23" i="4"/>
  <c r="FQ22" i="4"/>
  <c r="FP21" i="4"/>
  <c r="FQ20" i="4"/>
  <c r="FP19" i="4"/>
  <c r="FP18" i="4"/>
  <c r="FQ17" i="4"/>
  <c r="FP16" i="4"/>
  <c r="FP15" i="4"/>
  <c r="FP14" i="4"/>
  <c r="FQ77" i="4"/>
  <c r="FP75" i="4"/>
  <c r="FQ74" i="4"/>
  <c r="FQ73" i="4"/>
  <c r="FQ72" i="4"/>
  <c r="FP71" i="4"/>
  <c r="FQ70" i="4"/>
  <c r="FP69" i="4"/>
  <c r="FQ68" i="4"/>
  <c r="FP67" i="4"/>
  <c r="FQ66" i="4"/>
  <c r="FQ65" i="4"/>
  <c r="FP64" i="4"/>
  <c r="FP63" i="4"/>
  <c r="FQ62" i="4"/>
  <c r="FQ61" i="4"/>
  <c r="FQ60" i="4"/>
  <c r="FQ59" i="4"/>
  <c r="FP58" i="4"/>
  <c r="FQ57" i="4"/>
  <c r="FQ56" i="4"/>
  <c r="FQ55" i="4"/>
  <c r="FQ54" i="4"/>
  <c r="FQ53" i="4"/>
  <c r="FQ52" i="4"/>
  <c r="FP51" i="4"/>
  <c r="FP50" i="4"/>
  <c r="FP49" i="4"/>
  <c r="FQ48" i="4"/>
  <c r="FQ47" i="4"/>
  <c r="FP46" i="4"/>
  <c r="FQ45" i="4"/>
  <c r="FP44" i="4"/>
  <c r="FP43" i="4"/>
  <c r="FP42" i="4"/>
  <c r="FP41" i="4"/>
  <c r="FQ40" i="4"/>
  <c r="FQ39" i="4"/>
  <c r="FQ38" i="4"/>
  <c r="FQ37" i="4"/>
  <c r="FQ36" i="4"/>
  <c r="FP35" i="4"/>
  <c r="FQ34" i="4"/>
  <c r="FP33" i="4"/>
  <c r="FP32" i="4"/>
  <c r="FQ31" i="4"/>
  <c r="FQ30" i="4"/>
  <c r="FQ29" i="4"/>
  <c r="FP28" i="4"/>
  <c r="FP27" i="4"/>
  <c r="FQ26" i="4"/>
  <c r="FP25" i="4"/>
  <c r="FP24" i="4"/>
  <c r="FP23" i="4"/>
  <c r="FQ19" i="4"/>
  <c r="FQ18" i="4"/>
  <c r="FP17" i="4"/>
  <c r="FP9" i="4"/>
  <c r="FP22" i="4"/>
  <c r="FQ21" i="4"/>
  <c r="FP20" i="4"/>
  <c r="FQ16" i="4"/>
  <c r="FQ15" i="4"/>
  <c r="FQ14" i="4"/>
  <c r="FQ9" i="4"/>
  <c r="FP8" i="4"/>
  <c r="FP7" i="4"/>
  <c r="FQ6" i="4"/>
  <c r="FP5" i="4"/>
  <c r="FQ8" i="4"/>
  <c r="FQ7" i="4"/>
  <c r="FP6" i="4"/>
  <c r="FQ5" i="4"/>
  <c r="GF29" i="4"/>
  <c r="GF26" i="4"/>
  <c r="GF21" i="4"/>
  <c r="GF19" i="4"/>
  <c r="GF18" i="4"/>
  <c r="GF16" i="4"/>
  <c r="GF15" i="4"/>
  <c r="GF14" i="4"/>
  <c r="GF28" i="4"/>
  <c r="GF27" i="4"/>
  <c r="GF25" i="4"/>
  <c r="GF24" i="4"/>
  <c r="GF23" i="4"/>
  <c r="GF22" i="4"/>
  <c r="GF20" i="4"/>
  <c r="GF9" i="4"/>
  <c r="GF17" i="4"/>
  <c r="GF7" i="4"/>
  <c r="GF6" i="4"/>
  <c r="GF5" i="4"/>
  <c r="GF8" i="4"/>
  <c r="FA28" i="4"/>
  <c r="FA27" i="4"/>
  <c r="FA25" i="4"/>
  <c r="FA24" i="4"/>
  <c r="FA23" i="4"/>
  <c r="FA22" i="4"/>
  <c r="FA20" i="4"/>
  <c r="FA17" i="4"/>
  <c r="FA29" i="4"/>
  <c r="FA26" i="4"/>
  <c r="FA21" i="4"/>
  <c r="FA16" i="4"/>
  <c r="FA15" i="4"/>
  <c r="FA14" i="4"/>
  <c r="FA8" i="4"/>
  <c r="FA7" i="4"/>
  <c r="FA5" i="4"/>
  <c r="FA19" i="4"/>
  <c r="FA18" i="4"/>
  <c r="FA9" i="4"/>
  <c r="FA6" i="4"/>
  <c r="GB57" i="4"/>
  <c r="GB56" i="4"/>
  <c r="GB55" i="4"/>
  <c r="GB54" i="4"/>
  <c r="GB53" i="4"/>
  <c r="GB52" i="4"/>
  <c r="GC51" i="4"/>
  <c r="GC50" i="4"/>
  <c r="GC49" i="4"/>
  <c r="GB48" i="4"/>
  <c r="GB47" i="4"/>
  <c r="GC46" i="4"/>
  <c r="GB45" i="4"/>
  <c r="GC44" i="4"/>
  <c r="GC43" i="4"/>
  <c r="GC42" i="4"/>
  <c r="GC41" i="4"/>
  <c r="GB40" i="4"/>
  <c r="GB39" i="4"/>
  <c r="GB38" i="4"/>
  <c r="GB37" i="4"/>
  <c r="GB36" i="4"/>
  <c r="GC35" i="4"/>
  <c r="GB34" i="4"/>
  <c r="GC33" i="4"/>
  <c r="GC32" i="4"/>
  <c r="GB31" i="4"/>
  <c r="GB30" i="4"/>
  <c r="GB29" i="4"/>
  <c r="GC28" i="4"/>
  <c r="GC27" i="4"/>
  <c r="GB26" i="4"/>
  <c r="GC25" i="4"/>
  <c r="GC24" i="4"/>
  <c r="GC23" i="4"/>
  <c r="GC22" i="4"/>
  <c r="GB21" i="4"/>
  <c r="GC20" i="4"/>
  <c r="GB19" i="4"/>
  <c r="GB18" i="4"/>
  <c r="GC17" i="4"/>
  <c r="GB16" i="4"/>
  <c r="GB15" i="4"/>
  <c r="GB14" i="4"/>
  <c r="GC57" i="4"/>
  <c r="GC56" i="4"/>
  <c r="GC55" i="4"/>
  <c r="GC54" i="4"/>
  <c r="GC53" i="4"/>
  <c r="GC52" i="4"/>
  <c r="GB51" i="4"/>
  <c r="GB50" i="4"/>
  <c r="GB49" i="4"/>
  <c r="GC48" i="4"/>
  <c r="GC47" i="4"/>
  <c r="GB46" i="4"/>
  <c r="GC45" i="4"/>
  <c r="GB44" i="4"/>
  <c r="GB43" i="4"/>
  <c r="GB42" i="4"/>
  <c r="GB41" i="4"/>
  <c r="GC40" i="4"/>
  <c r="GC39" i="4"/>
  <c r="GC38" i="4"/>
  <c r="GC37" i="4"/>
  <c r="GC36" i="4"/>
  <c r="GB35" i="4"/>
  <c r="GC34" i="4"/>
  <c r="GB33" i="4"/>
  <c r="GB32" i="4"/>
  <c r="GC31" i="4"/>
  <c r="GC30" i="4"/>
  <c r="GC29" i="4"/>
  <c r="GB28" i="4"/>
  <c r="GB27" i="4"/>
  <c r="GC26" i="4"/>
  <c r="GB25" i="4"/>
  <c r="GB24" i="4"/>
  <c r="GB23" i="4"/>
  <c r="GC19" i="4"/>
  <c r="GC18" i="4"/>
  <c r="GB17" i="4"/>
  <c r="GC14" i="4"/>
  <c r="GB9" i="4"/>
  <c r="GB22" i="4"/>
  <c r="GC21" i="4"/>
  <c r="GB20" i="4"/>
  <c r="GC16" i="4"/>
  <c r="GC15" i="4"/>
  <c r="GC9" i="4"/>
  <c r="GC8" i="4"/>
  <c r="GB7" i="4"/>
  <c r="GB5" i="4"/>
  <c r="GB59" i="4" s="1"/>
  <c r="GB8" i="4"/>
  <c r="GC7" i="4"/>
  <c r="GB6" i="4" s="1"/>
  <c r="AF31" i="4"/>
  <c r="DN84" i="4"/>
  <c r="DN89" i="4"/>
  <c r="DN91" i="4"/>
  <c r="DN93" i="4"/>
  <c r="DN95" i="4"/>
  <c r="DN97" i="4"/>
  <c r="DN86" i="4"/>
  <c r="DN98" i="4"/>
  <c r="DN100" i="4"/>
  <c r="DN102" i="4"/>
  <c r="DN105" i="4"/>
  <c r="DN107" i="4"/>
  <c r="DN109" i="4"/>
  <c r="DN111" i="4"/>
  <c r="DN114" i="4"/>
  <c r="DN116" i="4"/>
  <c r="DN120" i="4"/>
  <c r="DN122" i="4"/>
  <c r="DN124" i="4"/>
  <c r="DN126" i="4"/>
  <c r="DN112" i="4"/>
  <c r="DN118" i="4"/>
  <c r="DN128" i="4"/>
  <c r="DN130" i="4"/>
  <c r="DN132" i="4"/>
  <c r="DN134" i="4"/>
  <c r="DN136" i="4"/>
  <c r="DN138" i="4"/>
  <c r="DN140" i="4"/>
  <c r="DN142" i="4"/>
  <c r="DN144" i="4"/>
  <c r="DN146" i="4"/>
  <c r="DN148" i="4"/>
  <c r="DN150" i="4"/>
  <c r="DN152" i="4"/>
  <c r="DN154" i="4"/>
  <c r="DN156" i="4"/>
  <c r="DN158" i="4"/>
  <c r="DN160" i="4"/>
  <c r="DN162" i="4"/>
  <c r="DN164" i="4"/>
  <c r="DN166" i="4"/>
  <c r="DN168" i="4"/>
  <c r="DN170" i="4"/>
  <c r="DN172" i="4"/>
  <c r="DN174" i="4"/>
  <c r="DN176" i="4"/>
  <c r="DN178" i="4"/>
  <c r="DN180" i="4"/>
  <c r="CJ52" i="4"/>
  <c r="GI29" i="4"/>
  <c r="GQ29" i="4" s="1"/>
  <c r="GI26" i="4"/>
  <c r="GQ26" i="4" s="1"/>
  <c r="GI21" i="4"/>
  <c r="GQ21" i="4" s="1"/>
  <c r="GI19" i="4"/>
  <c r="GQ19" i="4" s="1"/>
  <c r="GI18" i="4"/>
  <c r="GQ18" i="4" s="1"/>
  <c r="GI16" i="4"/>
  <c r="GQ16" i="4" s="1"/>
  <c r="GI15" i="4"/>
  <c r="GQ15" i="4" s="1"/>
  <c r="GI14" i="4"/>
  <c r="GQ14" i="4" s="1"/>
  <c r="GI28" i="4"/>
  <c r="GQ28" i="4" s="1"/>
  <c r="GI27" i="4"/>
  <c r="GQ27" i="4" s="1"/>
  <c r="GI25" i="4"/>
  <c r="GQ25" i="4" s="1"/>
  <c r="GI24" i="4"/>
  <c r="GQ24" i="4" s="1"/>
  <c r="GI23" i="4"/>
  <c r="GQ23" i="4" s="1"/>
  <c r="GI17" i="4"/>
  <c r="GQ17" i="4" s="1"/>
  <c r="GI9" i="4"/>
  <c r="GQ9" i="4" s="1"/>
  <c r="GI22" i="4"/>
  <c r="GQ22" i="4" s="1"/>
  <c r="GI20" i="4"/>
  <c r="GQ20" i="4" s="1"/>
  <c r="GI7" i="4"/>
  <c r="GQ7" i="4" s="1"/>
  <c r="GI6" i="4"/>
  <c r="GQ6" i="4" s="1"/>
  <c r="GI5" i="4"/>
  <c r="GQ5" i="4" s="1"/>
  <c r="GI8" i="4"/>
  <c r="GQ8" i="4" s="1"/>
  <c r="FD28" i="4"/>
  <c r="FD27" i="4"/>
  <c r="FD25" i="4"/>
  <c r="FD24" i="4"/>
  <c r="FD23" i="4"/>
  <c r="FD22" i="4"/>
  <c r="FD20" i="4"/>
  <c r="FD17" i="4"/>
  <c r="FD29" i="4"/>
  <c r="FD26" i="4"/>
  <c r="FD19" i="4"/>
  <c r="FD18" i="4"/>
  <c r="FD7" i="4"/>
  <c r="FD5" i="4"/>
  <c r="FD21" i="4"/>
  <c r="FD16" i="4"/>
  <c r="FD15" i="4"/>
  <c r="FD14" i="4"/>
  <c r="FD9" i="4"/>
  <c r="FD6" i="4"/>
  <c r="FD8" i="4"/>
  <c r="HA14" i="4"/>
  <c r="AF69" i="4"/>
  <c r="CJ27" i="4"/>
  <c r="GL5" i="1"/>
  <c r="GN5" i="1" s="1"/>
  <c r="FZ6" i="1"/>
  <c r="FZ5" i="1"/>
  <c r="GL104" i="1"/>
  <c r="GN104" i="1" s="1"/>
  <c r="GL103" i="1"/>
  <c r="GN103" i="1" s="1"/>
  <c r="GL102" i="1"/>
  <c r="GN102" i="1" s="1"/>
  <c r="GL101" i="1"/>
  <c r="GN101" i="1" s="1"/>
  <c r="GL100" i="1"/>
  <c r="GN100" i="1" s="1"/>
  <c r="GL99" i="1"/>
  <c r="GN99" i="1" s="1"/>
  <c r="GL98" i="1"/>
  <c r="GN98" i="1" s="1"/>
  <c r="GL97" i="1"/>
  <c r="GN97" i="1" s="1"/>
  <c r="GL96" i="1"/>
  <c r="GN96" i="1" s="1"/>
  <c r="GL95" i="1"/>
  <c r="GN95" i="1" s="1"/>
  <c r="GL94" i="1"/>
  <c r="GN94" i="1" s="1"/>
  <c r="GL93" i="1"/>
  <c r="GN93" i="1" s="1"/>
  <c r="GL92" i="1"/>
  <c r="GN92" i="1" s="1"/>
  <c r="GL91" i="1"/>
  <c r="GN91" i="1" s="1"/>
  <c r="GL90" i="1"/>
  <c r="GN90" i="1" s="1"/>
  <c r="GL89" i="1"/>
  <c r="GN89" i="1" s="1"/>
  <c r="GL88" i="1"/>
  <c r="GN88" i="1" s="1"/>
  <c r="GL87" i="1"/>
  <c r="GN87" i="1" s="1"/>
  <c r="GL86" i="1"/>
  <c r="GN86" i="1" s="1"/>
  <c r="GL85" i="1"/>
  <c r="GN85" i="1" s="1"/>
  <c r="GL84" i="1"/>
  <c r="GN84" i="1" s="1"/>
  <c r="GL83" i="1"/>
  <c r="GN83" i="1" s="1"/>
  <c r="GL82" i="1"/>
  <c r="GN82" i="1" s="1"/>
  <c r="GL81" i="1"/>
  <c r="GN81" i="1" s="1"/>
  <c r="GL80" i="1"/>
  <c r="GN80" i="1" s="1"/>
  <c r="GL79" i="1"/>
  <c r="GN79" i="1" s="1"/>
  <c r="GL78" i="1"/>
  <c r="GN78" i="1" s="1"/>
  <c r="GL77" i="1"/>
  <c r="GN77" i="1" s="1"/>
  <c r="GL76" i="1"/>
  <c r="GN76" i="1" s="1"/>
  <c r="GL75" i="1"/>
  <c r="GL74" i="1"/>
  <c r="GN74" i="1" s="1"/>
  <c r="GL73" i="1"/>
  <c r="GL72" i="1"/>
  <c r="GN72" i="1" s="1"/>
  <c r="GL71" i="1"/>
  <c r="GL70" i="1"/>
  <c r="GN70" i="1" s="1"/>
  <c r="GL69" i="1"/>
  <c r="GL68" i="1"/>
  <c r="GN68" i="1" s="1"/>
  <c r="GL67" i="1"/>
  <c r="GL66" i="1"/>
  <c r="GN66" i="1" s="1"/>
  <c r="GL65" i="1"/>
  <c r="GL64" i="1"/>
  <c r="GN64" i="1" s="1"/>
  <c r="GL63" i="1"/>
  <c r="GL62" i="1"/>
  <c r="GN62" i="1" s="1"/>
  <c r="GL61" i="1"/>
  <c r="GL60" i="1"/>
  <c r="GN60" i="1" s="1"/>
  <c r="GL59" i="1"/>
  <c r="GL58" i="1"/>
  <c r="GN58" i="1" s="1"/>
  <c r="GL57" i="1"/>
  <c r="GL56" i="1"/>
  <c r="GN56" i="1" s="1"/>
  <c r="GL55" i="1"/>
  <c r="GL54" i="1"/>
  <c r="GN54" i="1" s="1"/>
  <c r="GL53" i="1"/>
  <c r="GL52" i="1"/>
  <c r="GN52" i="1" s="1"/>
  <c r="GL51" i="1"/>
  <c r="GL50" i="1"/>
  <c r="GN50" i="1" s="1"/>
  <c r="GL49" i="1"/>
  <c r="GL48" i="1"/>
  <c r="GN48" i="1" s="1"/>
  <c r="GL47" i="1"/>
  <c r="GL46" i="1"/>
  <c r="GN46" i="1" s="1"/>
  <c r="GL45" i="1"/>
  <c r="GL44" i="1"/>
  <c r="GN44" i="1" s="1"/>
  <c r="GL43" i="1"/>
  <c r="GL42" i="1"/>
  <c r="GN42" i="1" s="1"/>
  <c r="GL41" i="1"/>
  <c r="GL40" i="1"/>
  <c r="GN40" i="1" s="1"/>
  <c r="GL39" i="1"/>
  <c r="GL38" i="1"/>
  <c r="GN38" i="1" s="1"/>
  <c r="GL37" i="1"/>
  <c r="GL36" i="1"/>
  <c r="GN36" i="1" s="1"/>
  <c r="GL35" i="1"/>
  <c r="GL34" i="1"/>
  <c r="GN34" i="1" s="1"/>
  <c r="GL33" i="1"/>
  <c r="GL32" i="1"/>
  <c r="GN32" i="1" s="1"/>
  <c r="GL31" i="1"/>
  <c r="GL30" i="1"/>
  <c r="GN30" i="1" s="1"/>
  <c r="GL29" i="1"/>
  <c r="GL28" i="1"/>
  <c r="GN28" i="1" s="1"/>
  <c r="GL27" i="1"/>
  <c r="GL26" i="1"/>
  <c r="GN26" i="1" s="1"/>
  <c r="GL25" i="1"/>
  <c r="GL24" i="1"/>
  <c r="GN24" i="1" s="1"/>
  <c r="GL23" i="1"/>
  <c r="GL22" i="1"/>
  <c r="GN22" i="1" s="1"/>
  <c r="GL21" i="1"/>
  <c r="GL20" i="1"/>
  <c r="GN20" i="1" s="1"/>
  <c r="GL19" i="1"/>
  <c r="GL18" i="1"/>
  <c r="GN18" i="1" s="1"/>
  <c r="GL17" i="1"/>
  <c r="GL16" i="1"/>
  <c r="GN16" i="1" s="1"/>
  <c r="GL15" i="1"/>
  <c r="GL14" i="1"/>
  <c r="GN14" i="1" s="1"/>
  <c r="GL13" i="1"/>
  <c r="GL12" i="1"/>
  <c r="GL11" i="1"/>
  <c r="GA11" i="1"/>
  <c r="FZ11" i="1"/>
  <c r="GL10" i="1"/>
  <c r="GL9" i="1"/>
  <c r="GL8" i="1"/>
  <c r="GL7" i="1"/>
  <c r="GL6" i="1"/>
  <c r="FZ8" i="1"/>
  <c r="EU6" i="1"/>
  <c r="EU7" i="1" s="1"/>
  <c r="EU5" i="1"/>
  <c r="EU11" i="1" s="1"/>
  <c r="FP10" i="4" l="1"/>
  <c r="FP11" i="4"/>
  <c r="FP12" i="4"/>
  <c r="FQ11" i="4"/>
  <c r="FU6" i="4" s="1"/>
  <c r="GU12" i="4"/>
  <c r="GV12" i="4"/>
  <c r="GU11" i="4"/>
  <c r="HA11" i="4"/>
  <c r="GV11" i="4"/>
  <c r="FU11" i="4"/>
  <c r="GU10" i="4"/>
  <c r="GV10" i="4"/>
  <c r="GU13" i="4"/>
  <c r="GV13" i="4"/>
  <c r="CI182" i="4"/>
  <c r="CK182" i="4" s="1"/>
  <c r="CI181" i="4"/>
  <c r="CK181" i="4" s="1"/>
  <c r="CI180" i="4"/>
  <c r="CK180" i="4" s="1"/>
  <c r="CI179" i="4"/>
  <c r="CK179" i="4" s="1"/>
  <c r="CI178" i="4"/>
  <c r="CK178" i="4" s="1"/>
  <c r="CI177" i="4"/>
  <c r="CK177" i="4" s="1"/>
  <c r="CI176" i="4"/>
  <c r="CK176" i="4" s="1"/>
  <c r="CI175" i="4"/>
  <c r="CK175" i="4" s="1"/>
  <c r="CI174" i="4"/>
  <c r="CK174" i="4" s="1"/>
  <c r="CI173" i="4"/>
  <c r="CK173" i="4" s="1"/>
  <c r="CI172" i="4"/>
  <c r="CK172" i="4" s="1"/>
  <c r="CI171" i="4"/>
  <c r="CK171" i="4" s="1"/>
  <c r="CI170" i="4"/>
  <c r="CK170" i="4" s="1"/>
  <c r="CI169" i="4"/>
  <c r="CK169" i="4" s="1"/>
  <c r="CI168" i="4"/>
  <c r="CK168" i="4" s="1"/>
  <c r="CI167" i="4"/>
  <c r="CK167" i="4" s="1"/>
  <c r="CI166" i="4"/>
  <c r="CK166" i="4" s="1"/>
  <c r="CI165" i="4"/>
  <c r="CK165" i="4" s="1"/>
  <c r="CI164" i="4"/>
  <c r="CK164" i="4" s="1"/>
  <c r="CI163" i="4"/>
  <c r="CK163" i="4" s="1"/>
  <c r="CI162" i="4"/>
  <c r="CK162" i="4" s="1"/>
  <c r="CI161" i="4"/>
  <c r="CK161" i="4" s="1"/>
  <c r="CI160" i="4"/>
  <c r="CK160" i="4" s="1"/>
  <c r="CI159" i="4"/>
  <c r="CK159" i="4" s="1"/>
  <c r="CI158" i="4"/>
  <c r="CK158" i="4" s="1"/>
  <c r="CI157" i="4"/>
  <c r="CK157" i="4" s="1"/>
  <c r="CI156" i="4"/>
  <c r="CK156" i="4" s="1"/>
  <c r="CI155" i="4"/>
  <c r="CK155" i="4" s="1"/>
  <c r="CI154" i="4"/>
  <c r="CK154" i="4" s="1"/>
  <c r="CI153" i="4"/>
  <c r="CK153" i="4" s="1"/>
  <c r="CI152" i="4"/>
  <c r="CK152" i="4" s="1"/>
  <c r="CI151" i="4"/>
  <c r="CK151" i="4" s="1"/>
  <c r="CI150" i="4"/>
  <c r="CK150" i="4" s="1"/>
  <c r="CI149" i="4"/>
  <c r="CK149" i="4" s="1"/>
  <c r="CI148" i="4"/>
  <c r="CK148" i="4" s="1"/>
  <c r="CI147" i="4"/>
  <c r="CK147" i="4" s="1"/>
  <c r="CI146" i="4"/>
  <c r="CK146" i="4" s="1"/>
  <c r="CI145" i="4"/>
  <c r="CK145" i="4" s="1"/>
  <c r="CI144" i="4"/>
  <c r="CK144" i="4" s="1"/>
  <c r="CI143" i="4"/>
  <c r="CK143" i="4" s="1"/>
  <c r="CI142" i="4"/>
  <c r="CK142" i="4" s="1"/>
  <c r="CI141" i="4"/>
  <c r="CK141" i="4" s="1"/>
  <c r="CI140" i="4"/>
  <c r="CK140" i="4" s="1"/>
  <c r="CI139" i="4"/>
  <c r="CK139" i="4" s="1"/>
  <c r="CI138" i="4"/>
  <c r="CK138" i="4" s="1"/>
  <c r="CI137" i="4"/>
  <c r="CK137" i="4" s="1"/>
  <c r="CI136" i="4"/>
  <c r="CK136" i="4" s="1"/>
  <c r="CI135" i="4"/>
  <c r="CK135" i="4" s="1"/>
  <c r="CI134" i="4"/>
  <c r="CK134" i="4" s="1"/>
  <c r="CI133" i="4"/>
  <c r="CK133" i="4" s="1"/>
  <c r="CI132" i="4"/>
  <c r="CK132" i="4" s="1"/>
  <c r="CI131" i="4"/>
  <c r="CK131" i="4" s="1"/>
  <c r="CI130" i="4"/>
  <c r="CK130" i="4" s="1"/>
  <c r="CI129" i="4"/>
  <c r="CK129" i="4" s="1"/>
  <c r="CI128" i="4"/>
  <c r="CK128" i="4" s="1"/>
  <c r="CI127" i="4"/>
  <c r="CK127" i="4" s="1"/>
  <c r="CI118" i="4"/>
  <c r="CK118" i="4" s="1"/>
  <c r="CI117" i="4"/>
  <c r="CK117" i="4" s="1"/>
  <c r="CI112" i="4"/>
  <c r="CK112" i="4" s="1"/>
  <c r="CI104" i="4"/>
  <c r="CK104" i="4" s="1"/>
  <c r="CI126" i="4"/>
  <c r="CK126" i="4" s="1"/>
  <c r="CI125" i="4"/>
  <c r="CK125" i="4" s="1"/>
  <c r="CI124" i="4"/>
  <c r="CK124" i="4" s="1"/>
  <c r="CI123" i="4"/>
  <c r="CK123" i="4" s="1"/>
  <c r="CI122" i="4"/>
  <c r="CK122" i="4" s="1"/>
  <c r="CI121" i="4"/>
  <c r="CK121" i="4" s="1"/>
  <c r="CI120" i="4"/>
  <c r="CK120" i="4" s="1"/>
  <c r="CI119" i="4"/>
  <c r="CK119" i="4" s="1"/>
  <c r="CI116" i="4"/>
  <c r="CK116" i="4" s="1"/>
  <c r="CI115" i="4"/>
  <c r="CK115" i="4" s="1"/>
  <c r="CI114" i="4"/>
  <c r="CK114" i="4" s="1"/>
  <c r="CI113" i="4"/>
  <c r="CK113" i="4" s="1"/>
  <c r="CI111" i="4"/>
  <c r="CK111" i="4" s="1"/>
  <c r="CI110" i="4"/>
  <c r="CK110" i="4" s="1"/>
  <c r="CI109" i="4"/>
  <c r="CK109" i="4" s="1"/>
  <c r="CI108" i="4"/>
  <c r="CK108" i="4" s="1"/>
  <c r="CI107" i="4"/>
  <c r="CK107" i="4" s="1"/>
  <c r="CI106" i="4"/>
  <c r="CK106" i="4" s="1"/>
  <c r="CI105" i="4"/>
  <c r="CK105" i="4" s="1"/>
  <c r="CI103" i="4"/>
  <c r="CK103" i="4" s="1"/>
  <c r="CI102" i="4"/>
  <c r="CK102" i="4" s="1"/>
  <c r="CI101" i="4"/>
  <c r="CK101" i="4" s="1"/>
  <c r="CI100" i="4"/>
  <c r="CK100" i="4" s="1"/>
  <c r="CI99" i="4"/>
  <c r="CK99" i="4" s="1"/>
  <c r="CI98" i="4"/>
  <c r="CK98" i="4" s="1"/>
  <c r="CI87" i="4"/>
  <c r="CK87" i="4" s="1"/>
  <c r="CI86" i="4"/>
  <c r="CK86" i="4" s="1"/>
  <c r="CI85" i="4"/>
  <c r="CK85" i="4" s="1"/>
  <c r="CI97" i="4"/>
  <c r="CK97" i="4" s="1"/>
  <c r="CI96" i="4"/>
  <c r="CK96" i="4" s="1"/>
  <c r="CI95" i="4"/>
  <c r="CK95" i="4" s="1"/>
  <c r="CI94" i="4"/>
  <c r="CK94" i="4" s="1"/>
  <c r="CI93" i="4"/>
  <c r="CK93" i="4" s="1"/>
  <c r="CI92" i="4"/>
  <c r="CK92" i="4" s="1"/>
  <c r="CI91" i="4"/>
  <c r="CK91" i="4" s="1"/>
  <c r="CI90" i="4"/>
  <c r="CK90" i="4" s="1"/>
  <c r="CI89" i="4"/>
  <c r="CK89" i="4" s="1"/>
  <c r="CI88" i="4"/>
  <c r="CK88" i="4" s="1"/>
  <c r="CI84" i="4"/>
  <c r="CK84" i="4" s="1"/>
  <c r="CI83" i="4"/>
  <c r="CK83" i="4" s="1"/>
  <c r="CJ33" i="4"/>
  <c r="CI35" i="4" s="1"/>
  <c r="GU104" i="4"/>
  <c r="GV103" i="4"/>
  <c r="GV102" i="4"/>
  <c r="GV101" i="4"/>
  <c r="GV100" i="4"/>
  <c r="GV99" i="4"/>
  <c r="GV98" i="4"/>
  <c r="GV97" i="4"/>
  <c r="GV104" i="4"/>
  <c r="GU103" i="4"/>
  <c r="GU102" i="4"/>
  <c r="GU101" i="4"/>
  <c r="GU100" i="4"/>
  <c r="GU99" i="4"/>
  <c r="GU98" i="4"/>
  <c r="GU97" i="4"/>
  <c r="GV96" i="4"/>
  <c r="GV95" i="4"/>
  <c r="GV94" i="4"/>
  <c r="GV93" i="4"/>
  <c r="GV92" i="4"/>
  <c r="GV91" i="4"/>
  <c r="GV90" i="4"/>
  <c r="GV89" i="4"/>
  <c r="GV88" i="4"/>
  <c r="GV87" i="4"/>
  <c r="GU86" i="4"/>
  <c r="GU85" i="4"/>
  <c r="GV84" i="4"/>
  <c r="GV83" i="4"/>
  <c r="GU82" i="4"/>
  <c r="GU81" i="4"/>
  <c r="GU80" i="4"/>
  <c r="GU79" i="4"/>
  <c r="GU78" i="4"/>
  <c r="GU77" i="4"/>
  <c r="GU96" i="4"/>
  <c r="GU95" i="4"/>
  <c r="GU94" i="4"/>
  <c r="GU93" i="4"/>
  <c r="GU92" i="4"/>
  <c r="GU91" i="4"/>
  <c r="GU90" i="4"/>
  <c r="GU89" i="4"/>
  <c r="GU88" i="4"/>
  <c r="GU87" i="4"/>
  <c r="GV86" i="4"/>
  <c r="GV85" i="4"/>
  <c r="GU84" i="4"/>
  <c r="GU83" i="4"/>
  <c r="GV82" i="4"/>
  <c r="GV81" i="4"/>
  <c r="GV80" i="4"/>
  <c r="GV79" i="4"/>
  <c r="GV78" i="4"/>
  <c r="GV77" i="4"/>
  <c r="GV76" i="4"/>
  <c r="GU75" i="4"/>
  <c r="GV74" i="4"/>
  <c r="GV73" i="4"/>
  <c r="GV75" i="4"/>
  <c r="GU74" i="4"/>
  <c r="GV72" i="4"/>
  <c r="GU71" i="4"/>
  <c r="GV70" i="4"/>
  <c r="GU69" i="4"/>
  <c r="GV68" i="4"/>
  <c r="GU67" i="4"/>
  <c r="GV66" i="4"/>
  <c r="GV65" i="4"/>
  <c r="GU64" i="4"/>
  <c r="GU63" i="4"/>
  <c r="GV62" i="4"/>
  <c r="GV61" i="4"/>
  <c r="GV60" i="4"/>
  <c r="GV59" i="4"/>
  <c r="GV58" i="4"/>
  <c r="GV57" i="4"/>
  <c r="GV56" i="4"/>
  <c r="GV55" i="4"/>
  <c r="GV54" i="4"/>
  <c r="GV53" i="4"/>
  <c r="GV52" i="4"/>
  <c r="GU51" i="4"/>
  <c r="GU50" i="4"/>
  <c r="GU49" i="4"/>
  <c r="GV48" i="4"/>
  <c r="GV47" i="4"/>
  <c r="GU46" i="4"/>
  <c r="GV45" i="4"/>
  <c r="GU44" i="4"/>
  <c r="GU43" i="4"/>
  <c r="GU42" i="4"/>
  <c r="GU41" i="4"/>
  <c r="GV40" i="4"/>
  <c r="GV39" i="4"/>
  <c r="GV38" i="4"/>
  <c r="GV37" i="4"/>
  <c r="GV36" i="4"/>
  <c r="GU35" i="4"/>
  <c r="GV34" i="4"/>
  <c r="GU33" i="4"/>
  <c r="GU32" i="4"/>
  <c r="GV31" i="4"/>
  <c r="GV30" i="4"/>
  <c r="GV29" i="4"/>
  <c r="GU28" i="4"/>
  <c r="GU27" i="4"/>
  <c r="GV26" i="4"/>
  <c r="GU25" i="4"/>
  <c r="GU24" i="4"/>
  <c r="GU23" i="4"/>
  <c r="GU22" i="4"/>
  <c r="GV21" i="4"/>
  <c r="GU20" i="4"/>
  <c r="GV19" i="4"/>
  <c r="GV18" i="4"/>
  <c r="GU17" i="4"/>
  <c r="GV16" i="4"/>
  <c r="GV15" i="4"/>
  <c r="GV14" i="4"/>
  <c r="GU76" i="4"/>
  <c r="GU73" i="4"/>
  <c r="GU72" i="4"/>
  <c r="GV71" i="4"/>
  <c r="GU70" i="4"/>
  <c r="GV69" i="4"/>
  <c r="GU68" i="4"/>
  <c r="GV67" i="4"/>
  <c r="GU66" i="4"/>
  <c r="GU65" i="4"/>
  <c r="GV64" i="4"/>
  <c r="GV63" i="4"/>
  <c r="GU62" i="4"/>
  <c r="GU61" i="4"/>
  <c r="GU60" i="4"/>
  <c r="GU59" i="4"/>
  <c r="GU58" i="4"/>
  <c r="GU57" i="4"/>
  <c r="GU56" i="4"/>
  <c r="GU55" i="4"/>
  <c r="GU54" i="4"/>
  <c r="GU53" i="4"/>
  <c r="GU52" i="4"/>
  <c r="GV51" i="4"/>
  <c r="GV50" i="4"/>
  <c r="GV49" i="4"/>
  <c r="GU48" i="4"/>
  <c r="GU47" i="4"/>
  <c r="GV46" i="4"/>
  <c r="GU45" i="4"/>
  <c r="GV44" i="4"/>
  <c r="GV43" i="4"/>
  <c r="GV42" i="4"/>
  <c r="GV41" i="4"/>
  <c r="GU40" i="4"/>
  <c r="GU39" i="4"/>
  <c r="GU38" i="4"/>
  <c r="GU37" i="4"/>
  <c r="GU36" i="4"/>
  <c r="GV35" i="4"/>
  <c r="GU34" i="4"/>
  <c r="GV33" i="4"/>
  <c r="GV32" i="4"/>
  <c r="GU31" i="4"/>
  <c r="GU30" i="4"/>
  <c r="GU29" i="4"/>
  <c r="GV28" i="4"/>
  <c r="GV27" i="4"/>
  <c r="GU26" i="4"/>
  <c r="GV25" i="4"/>
  <c r="GV24" i="4"/>
  <c r="GV23" i="4"/>
  <c r="GU19" i="4"/>
  <c r="GU18" i="4"/>
  <c r="GV17" i="4"/>
  <c r="GU14" i="4"/>
  <c r="GV9" i="4"/>
  <c r="GV22" i="4"/>
  <c r="GU21" i="4"/>
  <c r="GV20" i="4"/>
  <c r="GU16" i="4"/>
  <c r="GU15" i="4"/>
  <c r="GU9" i="4"/>
  <c r="GU8" i="4"/>
  <c r="GV7" i="4"/>
  <c r="GV6" i="4"/>
  <c r="GV5" i="4"/>
  <c r="GV8" i="4"/>
  <c r="GU7" i="4"/>
  <c r="GU6" i="4"/>
  <c r="GU5" i="4"/>
  <c r="FT6" i="4"/>
  <c r="FT8" i="4"/>
  <c r="FU8" i="4"/>
  <c r="FT7" i="4"/>
  <c r="FU7" i="4"/>
  <c r="FT9" i="4"/>
  <c r="FU9" i="4"/>
  <c r="EU8" i="1"/>
  <c r="GN6" i="1"/>
  <c r="GM6" i="1"/>
  <c r="GN10" i="1"/>
  <c r="GM10" i="1"/>
  <c r="GN12" i="1"/>
  <c r="GM12" i="1"/>
  <c r="GM5" i="1"/>
  <c r="GM103" i="1"/>
  <c r="GM101" i="1"/>
  <c r="GM99" i="1"/>
  <c r="GM97" i="1"/>
  <c r="GM95" i="1"/>
  <c r="GM93" i="1"/>
  <c r="GM91" i="1"/>
  <c r="GM89" i="1"/>
  <c r="GM87" i="1"/>
  <c r="GM85" i="1"/>
  <c r="GM83" i="1"/>
  <c r="GM81" i="1"/>
  <c r="GM79" i="1"/>
  <c r="GM77" i="1"/>
  <c r="GM74" i="1"/>
  <c r="GM70" i="1"/>
  <c r="GM66" i="1"/>
  <c r="GM62" i="1"/>
  <c r="GM58" i="1"/>
  <c r="GM54" i="1"/>
  <c r="GM50" i="1"/>
  <c r="GM46" i="1"/>
  <c r="GM42" i="1"/>
  <c r="GM38" i="1"/>
  <c r="GM34" i="1"/>
  <c r="GM30" i="1"/>
  <c r="GM26" i="1"/>
  <c r="GM22" i="1"/>
  <c r="GM18" i="1"/>
  <c r="GM14" i="1"/>
  <c r="GN8" i="1"/>
  <c r="GM8" i="1"/>
  <c r="GN7" i="1"/>
  <c r="GM7" i="1"/>
  <c r="GN9" i="1"/>
  <c r="GM9" i="1"/>
  <c r="GN11" i="1"/>
  <c r="GM11" i="1"/>
  <c r="GN13" i="1"/>
  <c r="GM13" i="1"/>
  <c r="GN15" i="1"/>
  <c r="GM15" i="1"/>
  <c r="GN17" i="1"/>
  <c r="GM17" i="1"/>
  <c r="GN19" i="1"/>
  <c r="GM19" i="1"/>
  <c r="GN21" i="1"/>
  <c r="GM21" i="1"/>
  <c r="GN23" i="1"/>
  <c r="GM23" i="1"/>
  <c r="GN25" i="1"/>
  <c r="GM25" i="1"/>
  <c r="GN27" i="1"/>
  <c r="GM27" i="1"/>
  <c r="GN29" i="1"/>
  <c r="GM29" i="1"/>
  <c r="GN31" i="1"/>
  <c r="GM31" i="1"/>
  <c r="GN33" i="1"/>
  <c r="GM33" i="1"/>
  <c r="GN35" i="1"/>
  <c r="GM35" i="1"/>
  <c r="GN37" i="1"/>
  <c r="GM37" i="1"/>
  <c r="GN39" i="1"/>
  <c r="GM39" i="1"/>
  <c r="GN41" i="1"/>
  <c r="GM41" i="1"/>
  <c r="GN43" i="1"/>
  <c r="GM43" i="1"/>
  <c r="GN45" i="1"/>
  <c r="GM45" i="1"/>
  <c r="GN47" i="1"/>
  <c r="GM47" i="1"/>
  <c r="GN49" i="1"/>
  <c r="GM49" i="1"/>
  <c r="GN51" i="1"/>
  <c r="GM51" i="1"/>
  <c r="GN53" i="1"/>
  <c r="GM53" i="1"/>
  <c r="GN55" i="1"/>
  <c r="GM55" i="1"/>
  <c r="GN57" i="1"/>
  <c r="GM57" i="1"/>
  <c r="GN59" i="1"/>
  <c r="GM59" i="1"/>
  <c r="GN61" i="1"/>
  <c r="GM61" i="1"/>
  <c r="GN63" i="1"/>
  <c r="GM63" i="1"/>
  <c r="GN65" i="1"/>
  <c r="GM65" i="1"/>
  <c r="GN67" i="1"/>
  <c r="GM67" i="1"/>
  <c r="GN69" i="1"/>
  <c r="GM69" i="1"/>
  <c r="GN71" i="1"/>
  <c r="GM71" i="1"/>
  <c r="GN73" i="1"/>
  <c r="GM73" i="1"/>
  <c r="GN75" i="1"/>
  <c r="GM75" i="1"/>
  <c r="GM104" i="1"/>
  <c r="GM102" i="1"/>
  <c r="GM100" i="1"/>
  <c r="GM98" i="1"/>
  <c r="GM96" i="1"/>
  <c r="GM94" i="1"/>
  <c r="GM92" i="1"/>
  <c r="GM90" i="1"/>
  <c r="GM88" i="1"/>
  <c r="GM86" i="1"/>
  <c r="GM84" i="1"/>
  <c r="GM82" i="1"/>
  <c r="GM80" i="1"/>
  <c r="GM78" i="1"/>
  <c r="GM76" i="1"/>
  <c r="GM72" i="1"/>
  <c r="GM68" i="1"/>
  <c r="GM64" i="1"/>
  <c r="GM60" i="1"/>
  <c r="GM56" i="1"/>
  <c r="GM52" i="1"/>
  <c r="GM48" i="1"/>
  <c r="GM44" i="1"/>
  <c r="GM40" i="1"/>
  <c r="GM36" i="1"/>
  <c r="GM32" i="1"/>
  <c r="GM28" i="1"/>
  <c r="GM24" i="1"/>
  <c r="GM20" i="1"/>
  <c r="GM16" i="1"/>
  <c r="FZ7" i="1"/>
  <c r="ED20" i="1"/>
  <c r="FG104" i="1"/>
  <c r="FI104" i="1" s="1"/>
  <c r="FG103" i="1"/>
  <c r="FI103" i="1" s="1"/>
  <c r="FG102" i="1"/>
  <c r="FI102" i="1" s="1"/>
  <c r="FG101" i="1"/>
  <c r="FI101" i="1" s="1"/>
  <c r="FG100" i="1"/>
  <c r="FI100" i="1" s="1"/>
  <c r="FG99" i="1"/>
  <c r="FI99" i="1" s="1"/>
  <c r="FG98" i="1"/>
  <c r="FI98" i="1" s="1"/>
  <c r="FG97" i="1"/>
  <c r="FI97" i="1" s="1"/>
  <c r="FG96" i="1"/>
  <c r="FI96" i="1" s="1"/>
  <c r="FG95" i="1"/>
  <c r="FI95" i="1" s="1"/>
  <c r="FG94" i="1"/>
  <c r="FI94" i="1" s="1"/>
  <c r="FG93" i="1"/>
  <c r="FI93" i="1" s="1"/>
  <c r="FG92" i="1"/>
  <c r="FI92" i="1" s="1"/>
  <c r="FG91" i="1"/>
  <c r="FI91" i="1" s="1"/>
  <c r="FG90" i="1"/>
  <c r="FI90" i="1" s="1"/>
  <c r="FG89" i="1"/>
  <c r="FI89" i="1" s="1"/>
  <c r="FG88" i="1"/>
  <c r="FI88" i="1" s="1"/>
  <c r="FG87" i="1"/>
  <c r="FI87" i="1" s="1"/>
  <c r="FG86" i="1"/>
  <c r="FI86" i="1" s="1"/>
  <c r="FG85" i="1"/>
  <c r="FI85" i="1" s="1"/>
  <c r="FG84" i="1"/>
  <c r="FI84" i="1" s="1"/>
  <c r="FG83" i="1"/>
  <c r="FI83" i="1" s="1"/>
  <c r="FG82" i="1"/>
  <c r="FI82" i="1" s="1"/>
  <c r="FG81" i="1"/>
  <c r="FI81" i="1" s="1"/>
  <c r="FG80" i="1"/>
  <c r="FI80" i="1" s="1"/>
  <c r="FG79" i="1"/>
  <c r="FI79" i="1" s="1"/>
  <c r="FG78" i="1"/>
  <c r="FI78" i="1" s="1"/>
  <c r="FG77" i="1"/>
  <c r="FI77" i="1" s="1"/>
  <c r="FG76" i="1"/>
  <c r="FI76" i="1" s="1"/>
  <c r="FG75" i="1"/>
  <c r="FI75" i="1" s="1"/>
  <c r="FG74" i="1"/>
  <c r="FI74" i="1" s="1"/>
  <c r="FG73" i="1"/>
  <c r="FI73" i="1" s="1"/>
  <c r="FG72" i="1"/>
  <c r="FI72" i="1" s="1"/>
  <c r="FG71" i="1"/>
  <c r="FI71" i="1" s="1"/>
  <c r="FG70" i="1"/>
  <c r="FI70" i="1" s="1"/>
  <c r="FG69" i="1"/>
  <c r="FI69" i="1" s="1"/>
  <c r="FG68" i="1"/>
  <c r="FI68" i="1" s="1"/>
  <c r="FG67" i="1"/>
  <c r="FI67" i="1" s="1"/>
  <c r="FG66" i="1"/>
  <c r="FI66" i="1" s="1"/>
  <c r="FG65" i="1"/>
  <c r="FI65" i="1" s="1"/>
  <c r="FG64" i="1"/>
  <c r="FI64" i="1" s="1"/>
  <c r="FG63" i="1"/>
  <c r="FI63" i="1" s="1"/>
  <c r="FG62" i="1"/>
  <c r="FI62" i="1" s="1"/>
  <c r="FG61" i="1"/>
  <c r="FI61" i="1" s="1"/>
  <c r="FG60" i="1"/>
  <c r="FI60" i="1" s="1"/>
  <c r="FG59" i="1"/>
  <c r="FI59" i="1" s="1"/>
  <c r="FG58" i="1"/>
  <c r="FI58" i="1" s="1"/>
  <c r="FG57" i="1"/>
  <c r="FI57" i="1" s="1"/>
  <c r="FG56" i="1"/>
  <c r="FI56" i="1" s="1"/>
  <c r="FG55" i="1"/>
  <c r="FI55" i="1" s="1"/>
  <c r="FG54" i="1"/>
  <c r="FI54" i="1" s="1"/>
  <c r="FG53" i="1"/>
  <c r="FI53" i="1" s="1"/>
  <c r="FG52" i="1"/>
  <c r="FI52" i="1" s="1"/>
  <c r="FG51" i="1"/>
  <c r="FI51" i="1" s="1"/>
  <c r="FG50" i="1"/>
  <c r="FI50" i="1" s="1"/>
  <c r="FG49" i="1"/>
  <c r="FI49" i="1" s="1"/>
  <c r="FG48" i="1"/>
  <c r="FI48" i="1" s="1"/>
  <c r="FG47" i="1"/>
  <c r="FI47" i="1" s="1"/>
  <c r="FG46" i="1"/>
  <c r="FI46" i="1" s="1"/>
  <c r="FG45" i="1"/>
  <c r="FI45" i="1" s="1"/>
  <c r="FG44" i="1"/>
  <c r="FI44" i="1" s="1"/>
  <c r="FG43" i="1"/>
  <c r="FI43" i="1" s="1"/>
  <c r="FG42" i="1"/>
  <c r="FI42" i="1" s="1"/>
  <c r="FG41" i="1"/>
  <c r="FI41" i="1" s="1"/>
  <c r="FG40" i="1"/>
  <c r="FI40" i="1" s="1"/>
  <c r="FG39" i="1"/>
  <c r="FI39" i="1" s="1"/>
  <c r="FG38" i="1"/>
  <c r="FI38" i="1" s="1"/>
  <c r="FG37" i="1"/>
  <c r="FI37" i="1" s="1"/>
  <c r="FG36" i="1"/>
  <c r="FI36" i="1" s="1"/>
  <c r="FG35" i="1"/>
  <c r="FI35" i="1" s="1"/>
  <c r="FG34" i="1"/>
  <c r="FI34" i="1" s="1"/>
  <c r="FG33" i="1"/>
  <c r="FI33" i="1" s="1"/>
  <c r="FG32" i="1"/>
  <c r="FI32" i="1" s="1"/>
  <c r="FG31" i="1"/>
  <c r="FI31" i="1" s="1"/>
  <c r="FG30" i="1"/>
  <c r="FI30" i="1" s="1"/>
  <c r="FG29" i="1"/>
  <c r="FH29" i="1" s="1"/>
  <c r="FG28" i="1"/>
  <c r="FH28" i="1" s="1"/>
  <c r="FG27" i="1"/>
  <c r="FH27" i="1" s="1"/>
  <c r="FG26" i="1"/>
  <c r="FH26" i="1" s="1"/>
  <c r="FG25" i="1"/>
  <c r="FH25" i="1" s="1"/>
  <c r="FG24" i="1"/>
  <c r="FH24" i="1" s="1"/>
  <c r="FG23" i="1"/>
  <c r="FH23" i="1" s="1"/>
  <c r="FG22" i="1"/>
  <c r="FH22" i="1" s="1"/>
  <c r="FG21" i="1"/>
  <c r="FH21" i="1" s="1"/>
  <c r="FG20" i="1"/>
  <c r="FH20" i="1" s="1"/>
  <c r="FG19" i="1"/>
  <c r="FH19" i="1" s="1"/>
  <c r="FG18" i="1"/>
  <c r="FH18" i="1" s="1"/>
  <c r="FG17" i="1"/>
  <c r="FH17" i="1" s="1"/>
  <c r="FG16" i="1"/>
  <c r="FH16" i="1" s="1"/>
  <c r="FG15" i="1"/>
  <c r="FH15" i="1" s="1"/>
  <c r="FG14" i="1"/>
  <c r="FH14" i="1" s="1"/>
  <c r="FG13" i="1"/>
  <c r="FH13" i="1" s="1"/>
  <c r="FG12" i="1"/>
  <c r="FH12" i="1" s="1"/>
  <c r="FG11" i="1"/>
  <c r="FH11" i="1" s="1"/>
  <c r="FG10" i="1"/>
  <c r="FH10" i="1" s="1"/>
  <c r="FG9" i="1"/>
  <c r="FH9" i="1" s="1"/>
  <c r="FG8" i="1"/>
  <c r="FH8" i="1" s="1"/>
  <c r="FG7" i="1"/>
  <c r="FH7" i="1" s="1"/>
  <c r="FG6" i="1"/>
  <c r="FH6" i="1" s="1"/>
  <c r="FG5" i="1"/>
  <c r="FI5" i="1" s="1"/>
  <c r="FT10" i="4" l="1"/>
  <c r="FU5" i="4"/>
  <c r="FT5" i="4"/>
  <c r="FU12" i="4"/>
  <c r="FU13" i="4" s="1"/>
  <c r="FU14" i="4" s="1"/>
  <c r="FU15" i="4" s="1"/>
  <c r="FU16" i="4" s="1"/>
  <c r="FU17" i="4" s="1"/>
  <c r="FU18" i="4" s="1"/>
  <c r="FU19" i="4" s="1"/>
  <c r="FU20" i="4" s="1"/>
  <c r="FU21" i="4" s="1"/>
  <c r="FU22" i="4" s="1"/>
  <c r="FU23" i="4" s="1"/>
  <c r="FU24" i="4" s="1"/>
  <c r="FU25" i="4" s="1"/>
  <c r="FU26" i="4" s="1"/>
  <c r="FU27" i="4" s="1"/>
  <c r="FU28" i="4" s="1"/>
  <c r="FU29" i="4" s="1"/>
  <c r="FU30" i="4" s="1"/>
  <c r="FU31" i="4" s="1"/>
  <c r="FU32" i="4" s="1"/>
  <c r="FU33" i="4" s="1"/>
  <c r="FU34" i="4" s="1"/>
  <c r="FU35" i="4" s="1"/>
  <c r="FU36" i="4" s="1"/>
  <c r="FU37" i="4" s="1"/>
  <c r="FU38" i="4" s="1"/>
  <c r="FU39" i="4" s="1"/>
  <c r="FU40" i="4" s="1"/>
  <c r="FU41" i="4" s="1"/>
  <c r="FU42" i="4" s="1"/>
  <c r="FU43" i="4" s="1"/>
  <c r="FU44" i="4" s="1"/>
  <c r="FU45" i="4" s="1"/>
  <c r="FU46" i="4" s="1"/>
  <c r="FU47" i="4" s="1"/>
  <c r="FU48" i="4" s="1"/>
  <c r="FU49" i="4" s="1"/>
  <c r="FU50" i="4" s="1"/>
  <c r="FU51" i="4" s="1"/>
  <c r="FU52" i="4" s="1"/>
  <c r="FU53" i="4" s="1"/>
  <c r="FU54" i="4" s="1"/>
  <c r="FU55" i="4" s="1"/>
  <c r="FU56" i="4" s="1"/>
  <c r="FU57" i="4" s="1"/>
  <c r="FU58" i="4" s="1"/>
  <c r="FU59" i="4" s="1"/>
  <c r="FU60" i="4" s="1"/>
  <c r="FU61" i="4" s="1"/>
  <c r="FU62" i="4" s="1"/>
  <c r="FU63" i="4" s="1"/>
  <c r="FU64" i="4" s="1"/>
  <c r="FU65" i="4" s="1"/>
  <c r="FU66" i="4" s="1"/>
  <c r="FU67" i="4" s="1"/>
  <c r="FU68" i="4" s="1"/>
  <c r="FU69" i="4" s="1"/>
  <c r="FU70" i="4" s="1"/>
  <c r="FU71" i="4" s="1"/>
  <c r="FU72" i="4" s="1"/>
  <c r="FU73" i="4" s="1"/>
  <c r="FU74" i="4" s="1"/>
  <c r="FU75" i="4" s="1"/>
  <c r="FU76" i="4" s="1"/>
  <c r="FU77" i="4" s="1"/>
  <c r="FU78" i="4" s="1"/>
  <c r="FU79" i="4" s="1"/>
  <c r="FU80" i="4" s="1"/>
  <c r="FU81" i="4" s="1"/>
  <c r="FU82" i="4" s="1"/>
  <c r="FU83" i="4" s="1"/>
  <c r="FU84" i="4" s="1"/>
  <c r="FU85" i="4" s="1"/>
  <c r="FU86" i="4" s="1"/>
  <c r="FU87" i="4" s="1"/>
  <c r="FU88" i="4" s="1"/>
  <c r="FU89" i="4" s="1"/>
  <c r="FU90" i="4" s="1"/>
  <c r="FU91" i="4" s="1"/>
  <c r="FU92" i="4" s="1"/>
  <c r="FU93" i="4" s="1"/>
  <c r="FU94" i="4" s="1"/>
  <c r="FU95" i="4" s="1"/>
  <c r="FU96" i="4" s="1"/>
  <c r="FU97" i="4" s="1"/>
  <c r="FU98" i="4" s="1"/>
  <c r="FU99" i="4" s="1"/>
  <c r="FU100" i="4" s="1"/>
  <c r="FU101" i="4" s="1"/>
  <c r="FU102" i="4" s="1"/>
  <c r="FU103" i="4" s="1"/>
  <c r="FU104" i="4" s="1"/>
  <c r="FT11" i="4"/>
  <c r="FT12" i="4" s="1"/>
  <c r="FT13" i="4" s="1"/>
  <c r="FT14" i="4" s="1"/>
  <c r="FT15" i="4" s="1"/>
  <c r="FT16" i="4" s="1"/>
  <c r="FT17" i="4" s="1"/>
  <c r="FT18" i="4" s="1"/>
  <c r="FT19" i="4" s="1"/>
  <c r="FT20" i="4" s="1"/>
  <c r="FT21" i="4" s="1"/>
  <c r="FT22" i="4" s="1"/>
  <c r="FT23" i="4" s="1"/>
  <c r="FT24" i="4" s="1"/>
  <c r="FT25" i="4" s="1"/>
  <c r="FT26" i="4" s="1"/>
  <c r="FT27" i="4" s="1"/>
  <c r="FT28" i="4" s="1"/>
  <c r="FT29" i="4" s="1"/>
  <c r="FT30" i="4" s="1"/>
  <c r="FT31" i="4" s="1"/>
  <c r="FT32" i="4" s="1"/>
  <c r="FT33" i="4" s="1"/>
  <c r="FT34" i="4" s="1"/>
  <c r="FT35" i="4" s="1"/>
  <c r="FT36" i="4" s="1"/>
  <c r="FT37" i="4" s="1"/>
  <c r="FT38" i="4" s="1"/>
  <c r="FT39" i="4" s="1"/>
  <c r="FT40" i="4" s="1"/>
  <c r="FT41" i="4" s="1"/>
  <c r="FT42" i="4" s="1"/>
  <c r="FT43" i="4" s="1"/>
  <c r="FT44" i="4" s="1"/>
  <c r="FT45" i="4" s="1"/>
  <c r="FT46" i="4" s="1"/>
  <c r="FT47" i="4" s="1"/>
  <c r="FT48" i="4" s="1"/>
  <c r="FT49" i="4" s="1"/>
  <c r="FT50" i="4" s="1"/>
  <c r="FT51" i="4" s="1"/>
  <c r="FT52" i="4" s="1"/>
  <c r="FT53" i="4" s="1"/>
  <c r="FT54" i="4" s="1"/>
  <c r="FT55" i="4" s="1"/>
  <c r="FT56" i="4" s="1"/>
  <c r="FT57" i="4" s="1"/>
  <c r="FT58" i="4" s="1"/>
  <c r="FT59" i="4" s="1"/>
  <c r="FT60" i="4" s="1"/>
  <c r="FT61" i="4" s="1"/>
  <c r="FT62" i="4" s="1"/>
  <c r="FT63" i="4" s="1"/>
  <c r="FT64" i="4" s="1"/>
  <c r="FT65" i="4" s="1"/>
  <c r="FT66" i="4" s="1"/>
  <c r="FT67" i="4" s="1"/>
  <c r="FT68" i="4" s="1"/>
  <c r="FT69" i="4" s="1"/>
  <c r="FT70" i="4" s="1"/>
  <c r="FT71" i="4" s="1"/>
  <c r="FT72" i="4" s="1"/>
  <c r="FT73" i="4" s="1"/>
  <c r="FT74" i="4" s="1"/>
  <c r="FT75" i="4" s="1"/>
  <c r="FT76" i="4" s="1"/>
  <c r="FT77" i="4" s="1"/>
  <c r="FT78" i="4" s="1"/>
  <c r="FT79" i="4" s="1"/>
  <c r="FT80" i="4" s="1"/>
  <c r="FT81" i="4" s="1"/>
  <c r="FT82" i="4" s="1"/>
  <c r="FT83" i="4" s="1"/>
  <c r="FT84" i="4" s="1"/>
  <c r="FT85" i="4" s="1"/>
  <c r="FT86" i="4" s="1"/>
  <c r="FT87" i="4" s="1"/>
  <c r="FT88" i="4" s="1"/>
  <c r="FT89" i="4" s="1"/>
  <c r="FT90" i="4" s="1"/>
  <c r="FT91" i="4" s="1"/>
  <c r="FT92" i="4" s="1"/>
  <c r="FT93" i="4" s="1"/>
  <c r="FT94" i="4" s="1"/>
  <c r="FT95" i="4" s="1"/>
  <c r="FT96" i="4" s="1"/>
  <c r="FT97" i="4" s="1"/>
  <c r="FT98" i="4" s="1"/>
  <c r="FT99" i="4" s="1"/>
  <c r="FT100" i="4" s="1"/>
  <c r="FT101" i="4" s="1"/>
  <c r="FT102" i="4" s="1"/>
  <c r="FT103" i="4" s="1"/>
  <c r="FT104" i="4" s="1"/>
  <c r="FU10" i="4"/>
  <c r="GY5" i="4"/>
  <c r="GY11" i="4"/>
  <c r="GY12" i="4" s="1"/>
  <c r="GY13" i="4" s="1"/>
  <c r="GY14" i="4" s="1"/>
  <c r="GY15" i="4" s="1"/>
  <c r="GY16" i="4" s="1"/>
  <c r="GY17" i="4" s="1"/>
  <c r="GY18" i="4" s="1"/>
  <c r="GY19" i="4" s="1"/>
  <c r="GY20" i="4" s="1"/>
  <c r="GY21" i="4" s="1"/>
  <c r="GY22" i="4" s="1"/>
  <c r="GY23" i="4" s="1"/>
  <c r="GY24" i="4" s="1"/>
  <c r="GY25" i="4" s="1"/>
  <c r="GY26" i="4" s="1"/>
  <c r="GY27" i="4" s="1"/>
  <c r="GY28" i="4" s="1"/>
  <c r="GY29" i="4" s="1"/>
  <c r="GY30" i="4" s="1"/>
  <c r="GY31" i="4" s="1"/>
  <c r="GY32" i="4" s="1"/>
  <c r="GY33" i="4" s="1"/>
  <c r="GY34" i="4" s="1"/>
  <c r="GY35" i="4" s="1"/>
  <c r="GY36" i="4" s="1"/>
  <c r="GY37" i="4" s="1"/>
  <c r="GY38" i="4" s="1"/>
  <c r="GY39" i="4" s="1"/>
  <c r="GY40" i="4" s="1"/>
  <c r="GY41" i="4" s="1"/>
  <c r="GY42" i="4" s="1"/>
  <c r="GY43" i="4" s="1"/>
  <c r="GY44" i="4" s="1"/>
  <c r="GY45" i="4" s="1"/>
  <c r="GY46" i="4" s="1"/>
  <c r="GY47" i="4" s="1"/>
  <c r="GY48" i="4" s="1"/>
  <c r="GY49" i="4" s="1"/>
  <c r="GY50" i="4" s="1"/>
  <c r="GY51" i="4" s="1"/>
  <c r="GY52" i="4" s="1"/>
  <c r="GY53" i="4" s="1"/>
  <c r="GY54" i="4" s="1"/>
  <c r="GY55" i="4" s="1"/>
  <c r="GY56" i="4" s="1"/>
  <c r="GY57" i="4" s="1"/>
  <c r="GY58" i="4" s="1"/>
  <c r="GY59" i="4" s="1"/>
  <c r="GY60" i="4" s="1"/>
  <c r="GY61" i="4" s="1"/>
  <c r="GY62" i="4" s="1"/>
  <c r="GY63" i="4" s="1"/>
  <c r="GY64" i="4" s="1"/>
  <c r="GY65" i="4" s="1"/>
  <c r="GY66" i="4" s="1"/>
  <c r="GY67" i="4" s="1"/>
  <c r="GY68" i="4" s="1"/>
  <c r="GY69" i="4" s="1"/>
  <c r="GY70" i="4" s="1"/>
  <c r="GY71" i="4" s="1"/>
  <c r="GY72" i="4" s="1"/>
  <c r="GY73" i="4" s="1"/>
  <c r="GY74" i="4" s="1"/>
  <c r="GY75" i="4" s="1"/>
  <c r="GY76" i="4" s="1"/>
  <c r="GY77" i="4" s="1"/>
  <c r="GY78" i="4" s="1"/>
  <c r="GY79" i="4" s="1"/>
  <c r="GY80" i="4" s="1"/>
  <c r="GY81" i="4" s="1"/>
  <c r="GY82" i="4" s="1"/>
  <c r="GY83" i="4" s="1"/>
  <c r="GY84" i="4" s="1"/>
  <c r="GY85" i="4" s="1"/>
  <c r="GY86" i="4" s="1"/>
  <c r="GY87" i="4" s="1"/>
  <c r="GY88" i="4" s="1"/>
  <c r="GY89" i="4" s="1"/>
  <c r="GY90" i="4" s="1"/>
  <c r="GY91" i="4" s="1"/>
  <c r="GY92" i="4" s="1"/>
  <c r="GY93" i="4" s="1"/>
  <c r="GY94" i="4" s="1"/>
  <c r="GY95" i="4" s="1"/>
  <c r="GY96" i="4" s="1"/>
  <c r="GY97" i="4" s="1"/>
  <c r="GY98" i="4" s="1"/>
  <c r="GY99" i="4" s="1"/>
  <c r="GY100" i="4" s="1"/>
  <c r="GY101" i="4" s="1"/>
  <c r="GY102" i="4" s="1"/>
  <c r="GY103" i="4" s="1"/>
  <c r="GY104" i="4" s="1"/>
  <c r="GZ11" i="4"/>
  <c r="GZ12" i="4" s="1"/>
  <c r="GZ13" i="4" s="1"/>
  <c r="GZ14" i="4" s="1"/>
  <c r="GZ15" i="4" s="1"/>
  <c r="GZ16" i="4" s="1"/>
  <c r="GZ17" i="4" s="1"/>
  <c r="GZ18" i="4" s="1"/>
  <c r="GZ19" i="4" s="1"/>
  <c r="GZ20" i="4" s="1"/>
  <c r="GZ21" i="4" s="1"/>
  <c r="GZ22" i="4" s="1"/>
  <c r="GZ23" i="4" s="1"/>
  <c r="GZ24" i="4" s="1"/>
  <c r="GZ25" i="4" s="1"/>
  <c r="GZ26" i="4" s="1"/>
  <c r="GZ27" i="4" s="1"/>
  <c r="GZ28" i="4" s="1"/>
  <c r="GZ29" i="4" s="1"/>
  <c r="GZ30" i="4" s="1"/>
  <c r="GZ31" i="4" s="1"/>
  <c r="GZ32" i="4" s="1"/>
  <c r="GZ33" i="4" s="1"/>
  <c r="GZ34" i="4" s="1"/>
  <c r="GZ35" i="4" s="1"/>
  <c r="GZ36" i="4" s="1"/>
  <c r="GZ37" i="4" s="1"/>
  <c r="GZ38" i="4" s="1"/>
  <c r="GZ39" i="4" s="1"/>
  <c r="GZ40" i="4" s="1"/>
  <c r="GZ41" i="4" s="1"/>
  <c r="GZ42" i="4" s="1"/>
  <c r="GZ43" i="4" s="1"/>
  <c r="GZ44" i="4" s="1"/>
  <c r="GZ45" i="4" s="1"/>
  <c r="GZ46" i="4" s="1"/>
  <c r="GZ47" i="4" s="1"/>
  <c r="GZ48" i="4" s="1"/>
  <c r="GZ49" i="4" s="1"/>
  <c r="GZ50" i="4" s="1"/>
  <c r="GZ51" i="4" s="1"/>
  <c r="GZ52" i="4" s="1"/>
  <c r="GZ53" i="4" s="1"/>
  <c r="GZ54" i="4" s="1"/>
  <c r="GZ55" i="4" s="1"/>
  <c r="GZ56" i="4" s="1"/>
  <c r="GZ57" i="4" s="1"/>
  <c r="GZ58" i="4" s="1"/>
  <c r="GZ59" i="4" s="1"/>
  <c r="GZ60" i="4" s="1"/>
  <c r="GZ61" i="4" s="1"/>
  <c r="GZ62" i="4" s="1"/>
  <c r="GZ63" i="4" s="1"/>
  <c r="GZ64" i="4" s="1"/>
  <c r="GZ65" i="4" s="1"/>
  <c r="GZ66" i="4" s="1"/>
  <c r="GZ67" i="4" s="1"/>
  <c r="GZ68" i="4" s="1"/>
  <c r="GZ69" i="4" s="1"/>
  <c r="GZ70" i="4" s="1"/>
  <c r="GZ71" i="4" s="1"/>
  <c r="GZ72" i="4" s="1"/>
  <c r="GZ73" i="4" s="1"/>
  <c r="GZ74" i="4" s="1"/>
  <c r="GZ75" i="4" s="1"/>
  <c r="GZ76" i="4" s="1"/>
  <c r="GZ77" i="4" s="1"/>
  <c r="GZ78" i="4" s="1"/>
  <c r="GZ79" i="4" s="1"/>
  <c r="GZ80" i="4" s="1"/>
  <c r="GZ81" i="4" s="1"/>
  <c r="GZ82" i="4" s="1"/>
  <c r="GZ83" i="4" s="1"/>
  <c r="GZ84" i="4" s="1"/>
  <c r="GZ85" i="4" s="1"/>
  <c r="GZ86" i="4" s="1"/>
  <c r="GZ87" i="4" s="1"/>
  <c r="GZ88" i="4" s="1"/>
  <c r="GZ89" i="4" s="1"/>
  <c r="GZ90" i="4" s="1"/>
  <c r="GZ91" i="4" s="1"/>
  <c r="GZ92" i="4" s="1"/>
  <c r="GZ93" i="4" s="1"/>
  <c r="GZ94" i="4" s="1"/>
  <c r="GZ95" i="4" s="1"/>
  <c r="GZ96" i="4" s="1"/>
  <c r="GZ97" i="4" s="1"/>
  <c r="GZ98" i="4" s="1"/>
  <c r="GZ99" i="4" s="1"/>
  <c r="GZ100" i="4" s="1"/>
  <c r="GZ101" i="4" s="1"/>
  <c r="GZ102" i="4" s="1"/>
  <c r="GZ103" i="4" s="1"/>
  <c r="GZ104" i="4" s="1"/>
  <c r="GY10" i="4"/>
  <c r="GZ10" i="4"/>
  <c r="FX8" i="4"/>
  <c r="GZ5" i="4"/>
  <c r="FX9" i="4"/>
  <c r="FX14" i="4" s="1"/>
  <c r="FW5" i="4"/>
  <c r="CJ42" i="4"/>
  <c r="FW6" i="4"/>
  <c r="FW11" i="4" s="1"/>
  <c r="GZ6" i="4"/>
  <c r="GY6" i="4"/>
  <c r="GZ8" i="4"/>
  <c r="GY8" i="4"/>
  <c r="CJ82" i="4"/>
  <c r="GY7" i="4"/>
  <c r="GZ7" i="4"/>
  <c r="GY9" i="4"/>
  <c r="GZ9" i="4"/>
  <c r="FH5" i="1"/>
  <c r="FH104" i="1"/>
  <c r="FH103" i="1"/>
  <c r="FH102" i="1"/>
  <c r="FH101" i="1"/>
  <c r="FH100" i="1"/>
  <c r="FH99" i="1"/>
  <c r="FH98" i="1"/>
  <c r="FH97" i="1"/>
  <c r="FH96" i="1"/>
  <c r="FH95" i="1"/>
  <c r="FH94" i="1"/>
  <c r="FH93" i="1"/>
  <c r="FH92" i="1"/>
  <c r="FH91" i="1"/>
  <c r="FH90" i="1"/>
  <c r="FH89" i="1"/>
  <c r="FH88" i="1"/>
  <c r="FH87" i="1"/>
  <c r="FH86" i="1"/>
  <c r="FH85" i="1"/>
  <c r="FH84" i="1"/>
  <c r="FH83" i="1"/>
  <c r="FH82" i="1"/>
  <c r="FH81" i="1"/>
  <c r="FH80" i="1"/>
  <c r="FH79" i="1"/>
  <c r="FH78" i="1"/>
  <c r="FH77" i="1"/>
  <c r="FH76" i="1"/>
  <c r="FH75" i="1"/>
  <c r="FH74" i="1"/>
  <c r="FH73" i="1"/>
  <c r="FH72" i="1"/>
  <c r="FH71" i="1"/>
  <c r="FH70" i="1"/>
  <c r="FH69" i="1"/>
  <c r="FH68" i="1"/>
  <c r="FH67" i="1"/>
  <c r="FH66" i="1"/>
  <c r="FH65" i="1"/>
  <c r="FH64" i="1"/>
  <c r="FH63" i="1"/>
  <c r="FH62" i="1"/>
  <c r="FH61" i="1"/>
  <c r="FH60" i="1"/>
  <c r="FH59" i="1"/>
  <c r="FH58" i="1"/>
  <c r="FH57" i="1"/>
  <c r="FH56" i="1"/>
  <c r="FH55" i="1"/>
  <c r="FH54" i="1"/>
  <c r="FH53" i="1"/>
  <c r="FH52" i="1"/>
  <c r="FH51" i="1"/>
  <c r="FH50" i="1"/>
  <c r="FH49" i="1"/>
  <c r="FH48" i="1"/>
  <c r="FH47" i="1"/>
  <c r="FH46" i="1"/>
  <c r="FH45" i="1"/>
  <c r="FH44" i="1"/>
  <c r="FH43" i="1"/>
  <c r="FH42" i="1"/>
  <c r="FH41" i="1"/>
  <c r="FH40" i="1"/>
  <c r="FH39" i="1"/>
  <c r="FH38" i="1"/>
  <c r="FH37" i="1"/>
  <c r="FH36" i="1"/>
  <c r="FH35" i="1"/>
  <c r="FH34" i="1"/>
  <c r="FH33" i="1"/>
  <c r="FH32" i="1"/>
  <c r="FH31" i="1"/>
  <c r="FH30" i="1"/>
  <c r="FI26" i="1"/>
  <c r="FI22" i="1"/>
  <c r="FI18" i="1"/>
  <c r="FI14" i="1"/>
  <c r="FI10" i="1"/>
  <c r="FI28" i="1"/>
  <c r="FI24" i="1"/>
  <c r="FI20" i="1"/>
  <c r="FI16" i="1"/>
  <c r="FI12" i="1"/>
  <c r="FI8" i="1"/>
  <c r="FI29" i="1"/>
  <c r="FI27" i="1"/>
  <c r="FI25" i="1"/>
  <c r="FI23" i="1"/>
  <c r="FI21" i="1"/>
  <c r="FI19" i="1"/>
  <c r="FI17" i="1"/>
  <c r="FI15" i="1"/>
  <c r="FI13" i="1"/>
  <c r="FI11" i="1"/>
  <c r="FI9" i="1"/>
  <c r="FI7" i="1"/>
  <c r="FI6" i="1"/>
  <c r="EV11" i="1"/>
  <c r="Q122" i="1"/>
  <c r="CL12" i="1"/>
  <c r="CL11" i="1"/>
  <c r="AI60" i="1"/>
  <c r="AG59" i="1"/>
  <c r="AI113" i="1"/>
  <c r="AG112" i="1"/>
  <c r="CJ51" i="4" l="1"/>
  <c r="CI44" i="4"/>
  <c r="HC8" i="4"/>
  <c r="HC9" i="4"/>
  <c r="HB6" i="4"/>
  <c r="HB5" i="4"/>
  <c r="CO182" i="4"/>
  <c r="CQ182" i="4" s="1"/>
  <c r="CO180" i="4"/>
  <c r="CQ180" i="4" s="1"/>
  <c r="CO178" i="4"/>
  <c r="CQ178" i="4" s="1"/>
  <c r="CO176" i="4"/>
  <c r="CQ176" i="4" s="1"/>
  <c r="CO174" i="4"/>
  <c r="CQ174" i="4" s="1"/>
  <c r="CO173" i="4"/>
  <c r="CQ173" i="4" s="1"/>
  <c r="CO171" i="4"/>
  <c r="CQ171" i="4" s="1"/>
  <c r="CO169" i="4"/>
  <c r="CQ169" i="4" s="1"/>
  <c r="CO167" i="4"/>
  <c r="CQ167" i="4" s="1"/>
  <c r="CO165" i="4"/>
  <c r="CQ165" i="4" s="1"/>
  <c r="CO164" i="4"/>
  <c r="CQ164" i="4" s="1"/>
  <c r="CO160" i="4"/>
  <c r="CQ160" i="4" s="1"/>
  <c r="CO158" i="4"/>
  <c r="CQ158" i="4" s="1"/>
  <c r="CO156" i="4"/>
  <c r="CQ156" i="4" s="1"/>
  <c r="CO154" i="4"/>
  <c r="CQ154" i="4" s="1"/>
  <c r="CO152" i="4"/>
  <c r="CQ152" i="4" s="1"/>
  <c r="CO147" i="4"/>
  <c r="CQ147" i="4" s="1"/>
  <c r="CO142" i="4"/>
  <c r="CQ142" i="4" s="1"/>
  <c r="CO140" i="4"/>
  <c r="CQ140" i="4" s="1"/>
  <c r="CO138" i="4"/>
  <c r="CQ138" i="4" s="1"/>
  <c r="CO136" i="4"/>
  <c r="CQ136" i="4" s="1"/>
  <c r="CO134" i="4"/>
  <c r="CQ134" i="4" s="1"/>
  <c r="CO132" i="4"/>
  <c r="CQ132" i="4" s="1"/>
  <c r="CO130" i="4"/>
  <c r="CQ130" i="4" s="1"/>
  <c r="CO150" i="4"/>
  <c r="CQ150" i="4" s="1"/>
  <c r="CO146" i="4"/>
  <c r="CQ146" i="4" s="1"/>
  <c r="CO126" i="4"/>
  <c r="CQ126" i="4" s="1"/>
  <c r="CO124" i="4"/>
  <c r="CQ124" i="4" s="1"/>
  <c r="CO122" i="4"/>
  <c r="CQ122" i="4" s="1"/>
  <c r="CO120" i="4"/>
  <c r="CQ120" i="4" s="1"/>
  <c r="CO116" i="4"/>
  <c r="CQ116" i="4" s="1"/>
  <c r="CO114" i="4"/>
  <c r="CQ114" i="4" s="1"/>
  <c r="CO110" i="4"/>
  <c r="CQ110" i="4" s="1"/>
  <c r="CO108" i="4"/>
  <c r="CQ108" i="4" s="1"/>
  <c r="CO106" i="4"/>
  <c r="CQ106" i="4" s="1"/>
  <c r="CO102" i="4"/>
  <c r="CQ102" i="4" s="1"/>
  <c r="CO100" i="4"/>
  <c r="CQ100" i="4" s="1"/>
  <c r="CO98" i="4"/>
  <c r="CQ98" i="4" s="1"/>
  <c r="CO128" i="4"/>
  <c r="CQ128" i="4" s="1"/>
  <c r="CO118" i="4"/>
  <c r="CQ118" i="4" s="1"/>
  <c r="CO112" i="4"/>
  <c r="CQ112" i="4" s="1"/>
  <c r="CO104" i="4"/>
  <c r="CQ104" i="4" s="1"/>
  <c r="CO96" i="4"/>
  <c r="CQ96" i="4" s="1"/>
  <c r="CO94" i="4"/>
  <c r="CQ94" i="4" s="1"/>
  <c r="CO92" i="4"/>
  <c r="CQ92" i="4" s="1"/>
  <c r="CO90" i="4"/>
  <c r="CQ90" i="4" s="1"/>
  <c r="CO88" i="4"/>
  <c r="CQ88" i="4" s="1"/>
  <c r="CO84" i="4"/>
  <c r="CQ84" i="4" s="1"/>
  <c r="CO86" i="4"/>
  <c r="CQ86" i="4" s="1"/>
  <c r="CO181" i="4"/>
  <c r="CQ181" i="4" s="1"/>
  <c r="CO179" i="4"/>
  <c r="CQ179" i="4" s="1"/>
  <c r="CO177" i="4"/>
  <c r="CQ177" i="4" s="1"/>
  <c r="CO175" i="4"/>
  <c r="CQ175" i="4" s="1"/>
  <c r="CO172" i="4"/>
  <c r="CQ172" i="4" s="1"/>
  <c r="CO170" i="4"/>
  <c r="CQ170" i="4" s="1"/>
  <c r="CO168" i="4"/>
  <c r="CQ168" i="4" s="1"/>
  <c r="CO166" i="4"/>
  <c r="CQ166" i="4" s="1"/>
  <c r="CO162" i="4"/>
  <c r="CQ162" i="4" s="1"/>
  <c r="CO161" i="4"/>
  <c r="CQ161" i="4" s="1"/>
  <c r="CO159" i="4"/>
  <c r="CQ159" i="4" s="1"/>
  <c r="CO157" i="4"/>
  <c r="CQ157" i="4" s="1"/>
  <c r="CO155" i="4"/>
  <c r="CQ155" i="4" s="1"/>
  <c r="CO153" i="4"/>
  <c r="CQ153" i="4" s="1"/>
  <c r="CO151" i="4"/>
  <c r="CQ151" i="4" s="1"/>
  <c r="CO163" i="4"/>
  <c r="CQ163" i="4" s="1"/>
  <c r="CO149" i="4"/>
  <c r="CQ149" i="4" s="1"/>
  <c r="CO145" i="4"/>
  <c r="CQ145" i="4" s="1"/>
  <c r="CO143" i="4"/>
  <c r="CQ143" i="4" s="1"/>
  <c r="CO141" i="4"/>
  <c r="CQ141" i="4" s="1"/>
  <c r="CO139" i="4"/>
  <c r="CQ139" i="4" s="1"/>
  <c r="CO137" i="4"/>
  <c r="CQ137" i="4" s="1"/>
  <c r="CO135" i="4"/>
  <c r="CQ135" i="4" s="1"/>
  <c r="CO133" i="4"/>
  <c r="CQ133" i="4" s="1"/>
  <c r="CO131" i="4"/>
  <c r="CQ131" i="4" s="1"/>
  <c r="CO129" i="4"/>
  <c r="CQ129" i="4" s="1"/>
  <c r="CO148" i="4"/>
  <c r="CQ148" i="4" s="1"/>
  <c r="CO144" i="4"/>
  <c r="CQ144" i="4" s="1"/>
  <c r="CO127" i="4"/>
  <c r="CQ127" i="4" s="1"/>
  <c r="CO125" i="4"/>
  <c r="CQ125" i="4" s="1"/>
  <c r="CO123" i="4"/>
  <c r="CQ123" i="4" s="1"/>
  <c r="CO121" i="4"/>
  <c r="CQ121" i="4" s="1"/>
  <c r="CO119" i="4"/>
  <c r="CQ119" i="4" s="1"/>
  <c r="CO115" i="4"/>
  <c r="CQ115" i="4" s="1"/>
  <c r="CO113" i="4"/>
  <c r="CQ113" i="4" s="1"/>
  <c r="CO111" i="4"/>
  <c r="CQ111" i="4" s="1"/>
  <c r="CO109" i="4"/>
  <c r="CQ109" i="4" s="1"/>
  <c r="CO107" i="4"/>
  <c r="CQ107" i="4" s="1"/>
  <c r="CO105" i="4"/>
  <c r="CQ105" i="4" s="1"/>
  <c r="CO103" i="4"/>
  <c r="CQ103" i="4" s="1"/>
  <c r="CO101" i="4"/>
  <c r="CQ101" i="4" s="1"/>
  <c r="CO99" i="4"/>
  <c r="CQ99" i="4" s="1"/>
  <c r="CO117" i="4"/>
  <c r="CQ117" i="4" s="1"/>
  <c r="CO97" i="4"/>
  <c r="CQ97" i="4" s="1"/>
  <c r="CO95" i="4"/>
  <c r="CQ95" i="4" s="1"/>
  <c r="CO93" i="4"/>
  <c r="CQ93" i="4" s="1"/>
  <c r="CO91" i="4"/>
  <c r="CQ91" i="4" s="1"/>
  <c r="CO89" i="4"/>
  <c r="CQ89" i="4" s="1"/>
  <c r="CO83" i="4"/>
  <c r="CQ83" i="4" s="1"/>
  <c r="CO87" i="4"/>
  <c r="CQ87" i="4" s="1"/>
  <c r="CO85" i="4"/>
  <c r="CQ85" i="4" s="1"/>
  <c r="W71" i="4"/>
  <c r="GR60" i="1"/>
  <c r="GR62" i="1"/>
  <c r="GR64" i="1"/>
  <c r="GR66" i="1"/>
  <c r="GR68" i="1"/>
  <c r="GR70" i="1"/>
  <c r="GR72" i="1"/>
  <c r="GR74" i="1"/>
  <c r="GR76" i="1"/>
  <c r="GR78" i="1"/>
  <c r="GR80" i="1"/>
  <c r="GR82" i="1"/>
  <c r="GR84" i="1"/>
  <c r="GR86" i="1"/>
  <c r="GR88" i="1"/>
  <c r="GR90" i="1"/>
  <c r="GR92" i="1"/>
  <c r="GR94" i="1"/>
  <c r="GR96" i="1"/>
  <c r="GR98" i="1"/>
  <c r="GR100" i="1"/>
  <c r="GR102" i="1"/>
  <c r="GR104" i="1"/>
  <c r="GQ60" i="1"/>
  <c r="GQ62" i="1"/>
  <c r="GQ64" i="1"/>
  <c r="GQ66" i="1"/>
  <c r="GQ68" i="1"/>
  <c r="GQ70" i="1"/>
  <c r="GQ72" i="1"/>
  <c r="GQ74" i="1"/>
  <c r="GQ76" i="1"/>
  <c r="GQ78" i="1"/>
  <c r="GQ80" i="1"/>
  <c r="GQ82" i="1"/>
  <c r="GQ84" i="1"/>
  <c r="GQ86" i="1"/>
  <c r="GQ88" i="1"/>
  <c r="GQ90" i="1"/>
  <c r="GQ92" i="1"/>
  <c r="GQ94" i="1"/>
  <c r="GQ96" i="1"/>
  <c r="GQ98" i="1"/>
  <c r="GQ100" i="1"/>
  <c r="GQ102" i="1"/>
  <c r="GQ104" i="1"/>
  <c r="GR61" i="1"/>
  <c r="GR63" i="1"/>
  <c r="GR65" i="1"/>
  <c r="GR67" i="1"/>
  <c r="GR69" i="1"/>
  <c r="GR71" i="1"/>
  <c r="GR73" i="1"/>
  <c r="GR75" i="1"/>
  <c r="GR77" i="1"/>
  <c r="GR79" i="1"/>
  <c r="GR81" i="1"/>
  <c r="GR83" i="1"/>
  <c r="GR85" i="1"/>
  <c r="GR87" i="1"/>
  <c r="GR89" i="1"/>
  <c r="GR91" i="1"/>
  <c r="GR93" i="1"/>
  <c r="GR95" i="1"/>
  <c r="GR97" i="1"/>
  <c r="GR99" i="1"/>
  <c r="GR101" i="1"/>
  <c r="GR103" i="1"/>
  <c r="GQ58" i="1"/>
  <c r="GQ61" i="1"/>
  <c r="GQ63" i="1"/>
  <c r="GQ65" i="1"/>
  <c r="GQ67" i="1"/>
  <c r="GQ69" i="1"/>
  <c r="GQ71" i="1"/>
  <c r="GQ73" i="1"/>
  <c r="GQ75" i="1"/>
  <c r="GQ77" i="1"/>
  <c r="GQ79" i="1"/>
  <c r="GQ81" i="1"/>
  <c r="GQ83" i="1"/>
  <c r="GQ85" i="1"/>
  <c r="GQ87" i="1"/>
  <c r="GQ89" i="1"/>
  <c r="GQ91" i="1"/>
  <c r="GQ93" i="1"/>
  <c r="GQ95" i="1"/>
  <c r="GQ97" i="1"/>
  <c r="GQ99" i="1"/>
  <c r="GQ101" i="1"/>
  <c r="GQ103" i="1"/>
  <c r="EV8" i="1"/>
  <c r="EV6" i="1"/>
  <c r="GA6" i="1"/>
  <c r="GJ4" i="1"/>
  <c r="GC5" i="1"/>
  <c r="GG4" i="1"/>
  <c r="GA8" i="1"/>
  <c r="FL58" i="1"/>
  <c r="FL60" i="1"/>
  <c r="FL61" i="1"/>
  <c r="FL62" i="1"/>
  <c r="FL63" i="1"/>
  <c r="FL64" i="1"/>
  <c r="FL65" i="1"/>
  <c r="FL66" i="1"/>
  <c r="FL67" i="1"/>
  <c r="FL68" i="1"/>
  <c r="FL69" i="1"/>
  <c r="FL70" i="1"/>
  <c r="FL71" i="1"/>
  <c r="FL72" i="1"/>
  <c r="FL73" i="1"/>
  <c r="FL74" i="1"/>
  <c r="FL75" i="1"/>
  <c r="FL76" i="1"/>
  <c r="FL77" i="1"/>
  <c r="FL78" i="1"/>
  <c r="FL79" i="1"/>
  <c r="FL80" i="1"/>
  <c r="FL81" i="1"/>
  <c r="FL82" i="1"/>
  <c r="FL83" i="1"/>
  <c r="FL84" i="1"/>
  <c r="FL85" i="1"/>
  <c r="FL86" i="1"/>
  <c r="FL87" i="1"/>
  <c r="FL88" i="1"/>
  <c r="FL89" i="1"/>
  <c r="FL90" i="1"/>
  <c r="FL91" i="1"/>
  <c r="FM60" i="1"/>
  <c r="FM61" i="1"/>
  <c r="FM62" i="1"/>
  <c r="FM63" i="1"/>
  <c r="FM64" i="1"/>
  <c r="FM65" i="1"/>
  <c r="FM66" i="1"/>
  <c r="FM67" i="1"/>
  <c r="FM68" i="1"/>
  <c r="FM69" i="1"/>
  <c r="FM70" i="1"/>
  <c r="FM71" i="1"/>
  <c r="FM72" i="1"/>
  <c r="FM73" i="1"/>
  <c r="FM74" i="1"/>
  <c r="FM75" i="1"/>
  <c r="FM76" i="1"/>
  <c r="FM77" i="1"/>
  <c r="FM78" i="1"/>
  <c r="FM79" i="1"/>
  <c r="FM80" i="1"/>
  <c r="FM81" i="1"/>
  <c r="FM82" i="1"/>
  <c r="FM83" i="1"/>
  <c r="FM84" i="1"/>
  <c r="FM85" i="1"/>
  <c r="FM86" i="1"/>
  <c r="FM87" i="1"/>
  <c r="FM88" i="1"/>
  <c r="FM89" i="1"/>
  <c r="FM90" i="1"/>
  <c r="FM91" i="1"/>
  <c r="FM92" i="1"/>
  <c r="FM93" i="1"/>
  <c r="FM94" i="1"/>
  <c r="FM95" i="1"/>
  <c r="FL92" i="1"/>
  <c r="FL94" i="1"/>
  <c r="FL96" i="1"/>
  <c r="FL97" i="1"/>
  <c r="FL98" i="1"/>
  <c r="FL99" i="1"/>
  <c r="FL100" i="1"/>
  <c r="FL101" i="1"/>
  <c r="FL102" i="1"/>
  <c r="FL104" i="1"/>
  <c r="FL93" i="1"/>
  <c r="FL95" i="1"/>
  <c r="FM96" i="1"/>
  <c r="FM97" i="1"/>
  <c r="FM98" i="1"/>
  <c r="FM99" i="1"/>
  <c r="FM100" i="1"/>
  <c r="FM101" i="1"/>
  <c r="FM102" i="1"/>
  <c r="FM103" i="1"/>
  <c r="FM104" i="1"/>
  <c r="FL103" i="1"/>
  <c r="FB4" i="1"/>
  <c r="EX5" i="1"/>
  <c r="FE4" i="1"/>
  <c r="Q123" i="1"/>
  <c r="Q127" i="1"/>
  <c r="Q126" i="1"/>
  <c r="Q125" i="1"/>
  <c r="Q124" i="1"/>
  <c r="CJ73" i="1"/>
  <c r="CJ64" i="1"/>
  <c r="CJ75" i="1" s="1"/>
  <c r="CJ55" i="1"/>
  <c r="CJ56" i="1" s="1"/>
  <c r="CJ46" i="1"/>
  <c r="CJ48" i="1" s="1"/>
  <c r="CJ37" i="1"/>
  <c r="CJ38" i="1" s="1"/>
  <c r="CJ31" i="1"/>
  <c r="CJ30" i="1"/>
  <c r="P61" i="1"/>
  <c r="HB11" i="4" l="1"/>
  <c r="CJ60" i="4"/>
  <c r="CI53" i="4"/>
  <c r="CP82" i="4"/>
  <c r="CU181" i="4" s="1"/>
  <c r="CW181" i="4" s="1"/>
  <c r="HC14" i="4"/>
  <c r="GC6" i="1"/>
  <c r="GC8" i="1" s="1"/>
  <c r="GA7" i="1"/>
  <c r="GA10" i="1"/>
  <c r="GJ24" i="1"/>
  <c r="GJ28" i="1"/>
  <c r="GJ8" i="1"/>
  <c r="GJ12" i="1"/>
  <c r="GJ16" i="1"/>
  <c r="GJ20" i="1"/>
  <c r="GJ23" i="1"/>
  <c r="GJ27" i="1"/>
  <c r="GJ7" i="1"/>
  <c r="GJ11" i="1"/>
  <c r="GJ15" i="1"/>
  <c r="GJ19" i="1"/>
  <c r="GJ22" i="1"/>
  <c r="GJ26" i="1"/>
  <c r="GJ6" i="1"/>
  <c r="GR6" i="1" s="1"/>
  <c r="GJ10" i="1"/>
  <c r="GJ14" i="1"/>
  <c r="GJ18" i="1"/>
  <c r="GJ21" i="1"/>
  <c r="GJ25" i="1"/>
  <c r="GJ29" i="1"/>
  <c r="GJ9" i="1"/>
  <c r="GJ13" i="1"/>
  <c r="GJ17" i="1"/>
  <c r="GJ5" i="1"/>
  <c r="GR5" i="1" s="1"/>
  <c r="GI4" i="1"/>
  <c r="GC59" i="1"/>
  <c r="GR59" i="1" s="1"/>
  <c r="GC58" i="1"/>
  <c r="GR58" i="1" s="1"/>
  <c r="GG6" i="1"/>
  <c r="GG10" i="1"/>
  <c r="GG14" i="1"/>
  <c r="GG18" i="1"/>
  <c r="GG22" i="1"/>
  <c r="GG26" i="1"/>
  <c r="GG5" i="1"/>
  <c r="GG9" i="1"/>
  <c r="GG13" i="1"/>
  <c r="GG17" i="1"/>
  <c r="GG21" i="1"/>
  <c r="GG25" i="1"/>
  <c r="GG29" i="1"/>
  <c r="GG8" i="1"/>
  <c r="GG12" i="1"/>
  <c r="GG16" i="1"/>
  <c r="GG20" i="1"/>
  <c r="GG24" i="1"/>
  <c r="GG28" i="1"/>
  <c r="GG7" i="1"/>
  <c r="GG11" i="1"/>
  <c r="GG15" i="1"/>
  <c r="GG19" i="1"/>
  <c r="GG23" i="1"/>
  <c r="GG27" i="1"/>
  <c r="GF4" i="1"/>
  <c r="FB6" i="1"/>
  <c r="FB8" i="1"/>
  <c r="FB10" i="1"/>
  <c r="FB12" i="1"/>
  <c r="FB14" i="1"/>
  <c r="FB16" i="1"/>
  <c r="FB18" i="1"/>
  <c r="FB20" i="1"/>
  <c r="FB22" i="1"/>
  <c r="FB24" i="1"/>
  <c r="FB26" i="1"/>
  <c r="FB28" i="1"/>
  <c r="FB5" i="1"/>
  <c r="FB7" i="1"/>
  <c r="FB9" i="1"/>
  <c r="FB11" i="1"/>
  <c r="FB13" i="1"/>
  <c r="FB15" i="1"/>
  <c r="FB17" i="1"/>
  <c r="FB19" i="1"/>
  <c r="FB21" i="1"/>
  <c r="FB23" i="1"/>
  <c r="FB25" i="1"/>
  <c r="FB27" i="1"/>
  <c r="FB29" i="1"/>
  <c r="FE6" i="1"/>
  <c r="FE8" i="1"/>
  <c r="FE10" i="1"/>
  <c r="FE12" i="1"/>
  <c r="FE14" i="1"/>
  <c r="FE16" i="1"/>
  <c r="FE18" i="1"/>
  <c r="FE20" i="1"/>
  <c r="FE22" i="1"/>
  <c r="FE24" i="1"/>
  <c r="FE26" i="1"/>
  <c r="FE28" i="1"/>
  <c r="FE5" i="1"/>
  <c r="FE7" i="1"/>
  <c r="FE9" i="1"/>
  <c r="FE11" i="1"/>
  <c r="FE13" i="1"/>
  <c r="FE15" i="1"/>
  <c r="FE17" i="1"/>
  <c r="FE19" i="1"/>
  <c r="FE21" i="1"/>
  <c r="FE23" i="1"/>
  <c r="FE25" i="1"/>
  <c r="FE27" i="1"/>
  <c r="FE29" i="1"/>
  <c r="EX6" i="1"/>
  <c r="EW7" i="1" s="1"/>
  <c r="EX59" i="1"/>
  <c r="FM59" i="1" s="1"/>
  <c r="EX58" i="1"/>
  <c r="FM58" i="1" s="1"/>
  <c r="FA4" i="1"/>
  <c r="FD4" i="1"/>
  <c r="EV10" i="1"/>
  <c r="EV7" i="1"/>
  <c r="CJ74" i="1"/>
  <c r="CJ57" i="1"/>
  <c r="CJ47" i="1"/>
  <c r="CJ66" i="1"/>
  <c r="CJ65" i="1"/>
  <c r="CJ39" i="1"/>
  <c r="CU94" i="4" l="1"/>
  <c r="CW94" i="4" s="1"/>
  <c r="CU114" i="4"/>
  <c r="CW114" i="4" s="1"/>
  <c r="CU118" i="4"/>
  <c r="CW118" i="4" s="1"/>
  <c r="CU142" i="4"/>
  <c r="CW142" i="4" s="1"/>
  <c r="CU160" i="4"/>
  <c r="CW160" i="4" s="1"/>
  <c r="CU121" i="4"/>
  <c r="CW121" i="4" s="1"/>
  <c r="CU84" i="4"/>
  <c r="CW84" i="4" s="1"/>
  <c r="CU102" i="4"/>
  <c r="CW102" i="4" s="1"/>
  <c r="CU124" i="4"/>
  <c r="CW124" i="4" s="1"/>
  <c r="CU134" i="4"/>
  <c r="CW134" i="4" s="1"/>
  <c r="CU150" i="4"/>
  <c r="CW150" i="4" s="1"/>
  <c r="CU93" i="4"/>
  <c r="CW93" i="4" s="1"/>
  <c r="CU151" i="4"/>
  <c r="CW151" i="4" s="1"/>
  <c r="CU90" i="4"/>
  <c r="CW90" i="4" s="1"/>
  <c r="CU86" i="4"/>
  <c r="CW86" i="4" s="1"/>
  <c r="CU108" i="4"/>
  <c r="CW108" i="4" s="1"/>
  <c r="CU120" i="4"/>
  <c r="CW120" i="4" s="1"/>
  <c r="CU104" i="4"/>
  <c r="CW104" i="4" s="1"/>
  <c r="CU130" i="4"/>
  <c r="CW130" i="4" s="1"/>
  <c r="CU138" i="4"/>
  <c r="CW138" i="4" s="1"/>
  <c r="CU146" i="4"/>
  <c r="CW146" i="4" s="1"/>
  <c r="CU154" i="4"/>
  <c r="CW154" i="4" s="1"/>
  <c r="CU176" i="4"/>
  <c r="CW176" i="4" s="1"/>
  <c r="CU103" i="4"/>
  <c r="CW103" i="4" s="1"/>
  <c r="CU135" i="4"/>
  <c r="CW135" i="4" s="1"/>
  <c r="CU167" i="4"/>
  <c r="CW167" i="4" s="1"/>
  <c r="GB26" i="1"/>
  <c r="CU88" i="4"/>
  <c r="CW88" i="4" s="1"/>
  <c r="CU92" i="4"/>
  <c r="CW92" i="4" s="1"/>
  <c r="CU96" i="4"/>
  <c r="CW96" i="4" s="1"/>
  <c r="CU100" i="4"/>
  <c r="CW100" i="4" s="1"/>
  <c r="CU106" i="4"/>
  <c r="CW106" i="4" s="1"/>
  <c r="CU110" i="4"/>
  <c r="CW110" i="4" s="1"/>
  <c r="CU116" i="4"/>
  <c r="CW116" i="4" s="1"/>
  <c r="CU122" i="4"/>
  <c r="CW122" i="4" s="1"/>
  <c r="CU126" i="4"/>
  <c r="CW126" i="4" s="1"/>
  <c r="CU112" i="4"/>
  <c r="CW112" i="4" s="1"/>
  <c r="CU128" i="4"/>
  <c r="CW128" i="4" s="1"/>
  <c r="CU132" i="4"/>
  <c r="CW132" i="4" s="1"/>
  <c r="CU136" i="4"/>
  <c r="CW136" i="4" s="1"/>
  <c r="CU140" i="4"/>
  <c r="CW140" i="4" s="1"/>
  <c r="CU144" i="4"/>
  <c r="CW144" i="4" s="1"/>
  <c r="CU148" i="4"/>
  <c r="CW148" i="4" s="1"/>
  <c r="CU152" i="4"/>
  <c r="CW152" i="4" s="1"/>
  <c r="CU156" i="4"/>
  <c r="CW156" i="4" s="1"/>
  <c r="CU168" i="4"/>
  <c r="CW168" i="4" s="1"/>
  <c r="W72" i="4"/>
  <c r="CU85" i="4"/>
  <c r="CW85" i="4" s="1"/>
  <c r="CU111" i="4"/>
  <c r="CW111" i="4" s="1"/>
  <c r="CU127" i="4"/>
  <c r="CW127" i="4" s="1"/>
  <c r="CU143" i="4"/>
  <c r="CW143" i="4" s="1"/>
  <c r="CU159" i="4"/>
  <c r="CW159" i="4" s="1"/>
  <c r="CU175" i="4"/>
  <c r="CW175" i="4" s="1"/>
  <c r="CU158" i="4"/>
  <c r="CW158" i="4" s="1"/>
  <c r="CU164" i="4"/>
  <c r="CW164" i="4" s="1"/>
  <c r="CU172" i="4"/>
  <c r="CW172" i="4" s="1"/>
  <c r="CU180" i="4"/>
  <c r="CW180" i="4" s="1"/>
  <c r="CU89" i="4"/>
  <c r="CW89" i="4" s="1"/>
  <c r="CU97" i="4"/>
  <c r="CW97" i="4" s="1"/>
  <c r="CU99" i="4"/>
  <c r="CW99" i="4" s="1"/>
  <c r="CU107" i="4"/>
  <c r="CW107" i="4" s="1"/>
  <c r="CU115" i="4"/>
  <c r="CW115" i="4" s="1"/>
  <c r="CU125" i="4"/>
  <c r="CW125" i="4" s="1"/>
  <c r="CU131" i="4"/>
  <c r="CW131" i="4" s="1"/>
  <c r="CU139" i="4"/>
  <c r="CW139" i="4" s="1"/>
  <c r="CU147" i="4"/>
  <c r="CW147" i="4" s="1"/>
  <c r="CU155" i="4"/>
  <c r="CW155" i="4" s="1"/>
  <c r="CU163" i="4"/>
  <c r="CW163" i="4" s="1"/>
  <c r="CU171" i="4"/>
  <c r="CW171" i="4" s="1"/>
  <c r="CU179" i="4"/>
  <c r="CW179" i="4" s="1"/>
  <c r="CU162" i="4"/>
  <c r="CW162" i="4" s="1"/>
  <c r="CU166" i="4"/>
  <c r="CW166" i="4" s="1"/>
  <c r="CU170" i="4"/>
  <c r="CW170" i="4" s="1"/>
  <c r="CU174" i="4"/>
  <c r="CW174" i="4" s="1"/>
  <c r="CU178" i="4"/>
  <c r="CW178" i="4" s="1"/>
  <c r="CU182" i="4"/>
  <c r="CW182" i="4" s="1"/>
  <c r="CU83" i="4"/>
  <c r="CW83" i="4" s="1"/>
  <c r="CU91" i="4"/>
  <c r="CW91" i="4" s="1"/>
  <c r="CU95" i="4"/>
  <c r="CW95" i="4" s="1"/>
  <c r="CU98" i="4"/>
  <c r="CW98" i="4" s="1"/>
  <c r="CU87" i="4"/>
  <c r="CW87" i="4" s="1"/>
  <c r="CU101" i="4"/>
  <c r="CW101" i="4" s="1"/>
  <c r="CU105" i="4"/>
  <c r="CW105" i="4" s="1"/>
  <c r="CU109" i="4"/>
  <c r="CW109" i="4" s="1"/>
  <c r="CU113" i="4"/>
  <c r="CW113" i="4" s="1"/>
  <c r="CU119" i="4"/>
  <c r="CW119" i="4" s="1"/>
  <c r="CU123" i="4"/>
  <c r="CW123" i="4" s="1"/>
  <c r="CU117" i="4"/>
  <c r="CW117" i="4" s="1"/>
  <c r="CU129" i="4"/>
  <c r="CW129" i="4" s="1"/>
  <c r="CU133" i="4"/>
  <c r="CW133" i="4" s="1"/>
  <c r="CU137" i="4"/>
  <c r="CW137" i="4" s="1"/>
  <c r="CU141" i="4"/>
  <c r="CW141" i="4" s="1"/>
  <c r="CU145" i="4"/>
  <c r="CW145" i="4" s="1"/>
  <c r="CU149" i="4"/>
  <c r="CW149" i="4" s="1"/>
  <c r="CU153" i="4"/>
  <c r="CW153" i="4" s="1"/>
  <c r="CU157" i="4"/>
  <c r="CW157" i="4" s="1"/>
  <c r="CU161" i="4"/>
  <c r="CW161" i="4" s="1"/>
  <c r="CU165" i="4"/>
  <c r="CW165" i="4" s="1"/>
  <c r="CU169" i="4"/>
  <c r="CW169" i="4" s="1"/>
  <c r="CU173" i="4"/>
  <c r="CW173" i="4" s="1"/>
  <c r="CU177" i="4"/>
  <c r="CW177" i="4" s="1"/>
  <c r="CJ69" i="4"/>
  <c r="CI62" i="4"/>
  <c r="GC41" i="1"/>
  <c r="GR41" i="1" s="1"/>
  <c r="GC39" i="1"/>
  <c r="GR39" i="1" s="1"/>
  <c r="GB14" i="1"/>
  <c r="GB56" i="1"/>
  <c r="GQ56" i="1" s="1"/>
  <c r="GC34" i="1"/>
  <c r="GR34" i="1" s="1"/>
  <c r="GC36" i="1"/>
  <c r="GR36" i="1" s="1"/>
  <c r="GB29" i="1"/>
  <c r="GB43" i="1"/>
  <c r="GQ43" i="1" s="1"/>
  <c r="GB33" i="1"/>
  <c r="GQ33" i="1" s="1"/>
  <c r="GC9" i="1"/>
  <c r="GB5" i="1"/>
  <c r="GC57" i="1"/>
  <c r="GR57" i="1" s="1"/>
  <c r="GB8" i="1"/>
  <c r="GR8" i="1"/>
  <c r="GB35" i="1"/>
  <c r="GQ35" i="1" s="1"/>
  <c r="GB46" i="1"/>
  <c r="GQ46" i="1" s="1"/>
  <c r="GB15" i="1"/>
  <c r="GB41" i="1"/>
  <c r="GQ41" i="1" s="1"/>
  <c r="GB54" i="1"/>
  <c r="GQ54" i="1" s="1"/>
  <c r="GB18" i="1"/>
  <c r="GB20" i="1"/>
  <c r="GC25" i="1"/>
  <c r="GR25" i="1" s="1"/>
  <c r="GC50" i="1"/>
  <c r="GR50" i="1" s="1"/>
  <c r="GC18" i="1"/>
  <c r="GR18" i="1" s="1"/>
  <c r="GC55" i="1"/>
  <c r="GR55" i="1" s="1"/>
  <c r="GC23" i="1"/>
  <c r="GR23" i="1" s="1"/>
  <c r="GC52" i="1"/>
  <c r="GR52" i="1" s="1"/>
  <c r="GC20" i="1"/>
  <c r="GR20" i="1" s="1"/>
  <c r="GB19" i="1"/>
  <c r="GB51" i="1"/>
  <c r="GQ51" i="1" s="1"/>
  <c r="GB30" i="1"/>
  <c r="GQ30" i="1" s="1"/>
  <c r="GB13" i="1"/>
  <c r="GB45" i="1"/>
  <c r="GQ45" i="1" s="1"/>
  <c r="GB47" i="1"/>
  <c r="GQ47" i="1" s="1"/>
  <c r="GB9" i="1"/>
  <c r="GB11" i="1"/>
  <c r="GB22" i="1"/>
  <c r="GB37" i="1"/>
  <c r="GQ37" i="1" s="1"/>
  <c r="GB39" i="1"/>
  <c r="GQ39" i="1" s="1"/>
  <c r="GB50" i="1"/>
  <c r="GQ50" i="1" s="1"/>
  <c r="GB7" i="1"/>
  <c r="GC49" i="1"/>
  <c r="GR49" i="1" s="1"/>
  <c r="GC33" i="1"/>
  <c r="GR33" i="1" s="1"/>
  <c r="GC17" i="1"/>
  <c r="GR17" i="1" s="1"/>
  <c r="GB28" i="1"/>
  <c r="GC42" i="1"/>
  <c r="GR42" i="1" s="1"/>
  <c r="GC26" i="1"/>
  <c r="GR26" i="1" s="1"/>
  <c r="GC10" i="1"/>
  <c r="GB32" i="1"/>
  <c r="GQ32" i="1" s="1"/>
  <c r="GC47" i="1"/>
  <c r="GR47" i="1" s="1"/>
  <c r="GC31" i="1"/>
  <c r="GR31" i="1" s="1"/>
  <c r="GC15" i="1"/>
  <c r="GR15" i="1" s="1"/>
  <c r="GB16" i="1"/>
  <c r="GC44" i="1"/>
  <c r="GR44" i="1" s="1"/>
  <c r="GC28" i="1"/>
  <c r="GR28" i="1" s="1"/>
  <c r="GC12" i="1"/>
  <c r="GR12" i="1" s="1"/>
  <c r="GR10" i="1"/>
  <c r="GB40" i="1"/>
  <c r="GQ40" i="1" s="1"/>
  <c r="GB31" i="1"/>
  <c r="GQ31" i="1" s="1"/>
  <c r="GB10" i="1"/>
  <c r="GB42" i="1"/>
  <c r="GQ42" i="1" s="1"/>
  <c r="GB25" i="1"/>
  <c r="GB24" i="1"/>
  <c r="GB27" i="1"/>
  <c r="GB57" i="1"/>
  <c r="GQ57" i="1" s="1"/>
  <c r="GB38" i="1"/>
  <c r="GQ38" i="1" s="1"/>
  <c r="GB21" i="1"/>
  <c r="GB53" i="1"/>
  <c r="GQ53" i="1" s="1"/>
  <c r="GB23" i="1"/>
  <c r="GB55" i="1"/>
  <c r="GQ55" i="1" s="1"/>
  <c r="GB34" i="1"/>
  <c r="GQ34" i="1" s="1"/>
  <c r="GB17" i="1"/>
  <c r="GB49" i="1"/>
  <c r="GQ49" i="1" s="1"/>
  <c r="GB44" i="1"/>
  <c r="GQ44" i="1" s="1"/>
  <c r="GC53" i="1"/>
  <c r="GR53" i="1" s="1"/>
  <c r="GC45" i="1"/>
  <c r="GR45" i="1" s="1"/>
  <c r="GC37" i="1"/>
  <c r="GR37" i="1" s="1"/>
  <c r="GC29" i="1"/>
  <c r="GR29" i="1" s="1"/>
  <c r="GC21" i="1"/>
  <c r="GR21" i="1" s="1"/>
  <c r="GC13" i="1"/>
  <c r="GR13" i="1" s="1"/>
  <c r="GB48" i="1"/>
  <c r="GQ48" i="1" s="1"/>
  <c r="GC54" i="1"/>
  <c r="GR54" i="1" s="1"/>
  <c r="GC46" i="1"/>
  <c r="GR46" i="1" s="1"/>
  <c r="GC38" i="1"/>
  <c r="GR38" i="1" s="1"/>
  <c r="GC30" i="1"/>
  <c r="GR30" i="1" s="1"/>
  <c r="GC22" i="1"/>
  <c r="GR22" i="1" s="1"/>
  <c r="GC14" i="1"/>
  <c r="GR14" i="1" s="1"/>
  <c r="GC56" i="1"/>
  <c r="GR56" i="1" s="1"/>
  <c r="GB52" i="1"/>
  <c r="GQ52" i="1" s="1"/>
  <c r="GB12" i="1"/>
  <c r="GC51" i="1"/>
  <c r="GR51" i="1" s="1"/>
  <c r="GC43" i="1"/>
  <c r="GR43" i="1" s="1"/>
  <c r="GC35" i="1"/>
  <c r="GR35" i="1" s="1"/>
  <c r="GC27" i="1"/>
  <c r="GR27" i="1" s="1"/>
  <c r="GC19" i="1"/>
  <c r="GR19" i="1" s="1"/>
  <c r="GC11" i="1"/>
  <c r="GR11" i="1" s="1"/>
  <c r="GB36" i="1"/>
  <c r="GQ36" i="1" s="1"/>
  <c r="GC7" i="1"/>
  <c r="GC48" i="1"/>
  <c r="GR48" i="1" s="1"/>
  <c r="GC40" i="1"/>
  <c r="GR40" i="1" s="1"/>
  <c r="GC32" i="1"/>
  <c r="GR32" i="1" s="1"/>
  <c r="GC24" i="1"/>
  <c r="GR24" i="1" s="1"/>
  <c r="GC16" i="1"/>
  <c r="GR16" i="1" s="1"/>
  <c r="GB59" i="1"/>
  <c r="GQ59" i="1" s="1"/>
  <c r="GR7" i="1"/>
  <c r="GA9" i="1"/>
  <c r="GR9" i="1" s="1"/>
  <c r="GF20" i="1"/>
  <c r="GF11" i="1"/>
  <c r="GF27" i="1"/>
  <c r="GF18" i="1"/>
  <c r="GF9" i="1"/>
  <c r="GF25" i="1"/>
  <c r="GF16" i="1"/>
  <c r="GF7" i="1"/>
  <c r="GF23" i="1"/>
  <c r="GF14" i="1"/>
  <c r="GF5" i="1"/>
  <c r="GF21" i="1"/>
  <c r="GF12" i="1"/>
  <c r="GF28" i="1"/>
  <c r="GF19" i="1"/>
  <c r="GF10" i="1"/>
  <c r="GF26" i="1"/>
  <c r="GF17" i="1"/>
  <c r="GF8" i="1"/>
  <c r="GF24" i="1"/>
  <c r="GF15" i="1"/>
  <c r="GF6" i="1"/>
  <c r="GF22" i="1"/>
  <c r="GF13" i="1"/>
  <c r="GF29" i="1"/>
  <c r="GI8" i="1"/>
  <c r="GQ8" i="1" s="1"/>
  <c r="GI12" i="1"/>
  <c r="GI16" i="1"/>
  <c r="GI20" i="1"/>
  <c r="GI24" i="1"/>
  <c r="GI28" i="1"/>
  <c r="GI7" i="1"/>
  <c r="GI11" i="1"/>
  <c r="GI15" i="1"/>
  <c r="GI19" i="1"/>
  <c r="GI23" i="1"/>
  <c r="GI27" i="1"/>
  <c r="GI6" i="1"/>
  <c r="GI10" i="1"/>
  <c r="GI14" i="1"/>
  <c r="GQ14" i="1" s="1"/>
  <c r="GI18" i="1"/>
  <c r="GI22" i="1"/>
  <c r="GI26" i="1"/>
  <c r="GQ26" i="1" s="1"/>
  <c r="GI5" i="1"/>
  <c r="GQ5" i="1" s="1"/>
  <c r="GI9" i="1"/>
  <c r="GI13" i="1"/>
  <c r="GI17" i="1"/>
  <c r="GI21" i="1"/>
  <c r="GI25" i="1"/>
  <c r="GI29" i="1"/>
  <c r="GQ29" i="1" s="1"/>
  <c r="FM5" i="1"/>
  <c r="FM6" i="1"/>
  <c r="FA7" i="1"/>
  <c r="FA9" i="1"/>
  <c r="FA11" i="1"/>
  <c r="FA13" i="1"/>
  <c r="FA15" i="1"/>
  <c r="FA17" i="1"/>
  <c r="FA19" i="1"/>
  <c r="FA21" i="1"/>
  <c r="FA23" i="1"/>
  <c r="FA25" i="1"/>
  <c r="FA27" i="1"/>
  <c r="FA29" i="1"/>
  <c r="FA6" i="1"/>
  <c r="FA8" i="1"/>
  <c r="FA10" i="1"/>
  <c r="FA12" i="1"/>
  <c r="FA14" i="1"/>
  <c r="FA16" i="1"/>
  <c r="FA18" i="1"/>
  <c r="FA20" i="1"/>
  <c r="FA22" i="1"/>
  <c r="FA24" i="1"/>
  <c r="FA26" i="1"/>
  <c r="FA28" i="1"/>
  <c r="FA5" i="1"/>
  <c r="EW19" i="1"/>
  <c r="EW51" i="1"/>
  <c r="FL51" i="1" s="1"/>
  <c r="EX38" i="1"/>
  <c r="FM38" i="1" s="1"/>
  <c r="EW35" i="1"/>
  <c r="FL35" i="1" s="1"/>
  <c r="EX54" i="1"/>
  <c r="FM54" i="1" s="1"/>
  <c r="EX22" i="1"/>
  <c r="FM22" i="1" s="1"/>
  <c r="FD7" i="1"/>
  <c r="FL7" i="1" s="1"/>
  <c r="FD9" i="1"/>
  <c r="FD11" i="1"/>
  <c r="FD13" i="1"/>
  <c r="FD15" i="1"/>
  <c r="FD17" i="1"/>
  <c r="FD19" i="1"/>
  <c r="FL19" i="1" s="1"/>
  <c r="FD21" i="1"/>
  <c r="FD23" i="1"/>
  <c r="FD25" i="1"/>
  <c r="FD27" i="1"/>
  <c r="FD29" i="1"/>
  <c r="FD6" i="1"/>
  <c r="FD8" i="1"/>
  <c r="FD10" i="1"/>
  <c r="FD12" i="1"/>
  <c r="FD14" i="1"/>
  <c r="FD16" i="1"/>
  <c r="FD18" i="1"/>
  <c r="FD20" i="1"/>
  <c r="FD22" i="1"/>
  <c r="FD24" i="1"/>
  <c r="FD26" i="1"/>
  <c r="FD28" i="1"/>
  <c r="FD5" i="1"/>
  <c r="EW43" i="1"/>
  <c r="FL43" i="1" s="1"/>
  <c r="EW27" i="1"/>
  <c r="EW11" i="1"/>
  <c r="EX46" i="1"/>
  <c r="FM46" i="1" s="1"/>
  <c r="EX30" i="1"/>
  <c r="FM30" i="1" s="1"/>
  <c r="EX14" i="1"/>
  <c r="FM14" i="1" s="1"/>
  <c r="EW55" i="1"/>
  <c r="FL55" i="1" s="1"/>
  <c r="EW47" i="1"/>
  <c r="FL47" i="1" s="1"/>
  <c r="EW39" i="1"/>
  <c r="FL39" i="1" s="1"/>
  <c r="EW31" i="1"/>
  <c r="FL31" i="1" s="1"/>
  <c r="EW23" i="1"/>
  <c r="EW15" i="1"/>
  <c r="EW5" i="1"/>
  <c r="EW59" i="1" s="1"/>
  <c r="FL59" i="1" s="1"/>
  <c r="EX50" i="1"/>
  <c r="FM50" i="1" s="1"/>
  <c r="EX42" i="1"/>
  <c r="FM42" i="1" s="1"/>
  <c r="EX34" i="1"/>
  <c r="FM34" i="1" s="1"/>
  <c r="EX26" i="1"/>
  <c r="FM26" i="1" s="1"/>
  <c r="EX18" i="1"/>
  <c r="FM18" i="1" s="1"/>
  <c r="EX10" i="1"/>
  <c r="FM10" i="1" s="1"/>
  <c r="EW57" i="1"/>
  <c r="FL57" i="1" s="1"/>
  <c r="EW53" i="1"/>
  <c r="FL53" i="1" s="1"/>
  <c r="EW49" i="1"/>
  <c r="FL49" i="1" s="1"/>
  <c r="EW45" i="1"/>
  <c r="FL45" i="1" s="1"/>
  <c r="EW41" i="1"/>
  <c r="FL41" i="1" s="1"/>
  <c r="EW37" i="1"/>
  <c r="FL37" i="1" s="1"/>
  <c r="EW33" i="1"/>
  <c r="FL33" i="1" s="1"/>
  <c r="EW29" i="1"/>
  <c r="EW25" i="1"/>
  <c r="EW21" i="1"/>
  <c r="EW17" i="1"/>
  <c r="EW13" i="1"/>
  <c r="EW9" i="1"/>
  <c r="EX56" i="1"/>
  <c r="FM56" i="1" s="1"/>
  <c r="EX52" i="1"/>
  <c r="FM52" i="1" s="1"/>
  <c r="EX48" i="1"/>
  <c r="FM48" i="1" s="1"/>
  <c r="EX44" i="1"/>
  <c r="FM44" i="1" s="1"/>
  <c r="EX40" i="1"/>
  <c r="FM40" i="1" s="1"/>
  <c r="EX36" i="1"/>
  <c r="FM36" i="1" s="1"/>
  <c r="EX32" i="1"/>
  <c r="FM32" i="1" s="1"/>
  <c r="EX28" i="1"/>
  <c r="FM28" i="1" s="1"/>
  <c r="EX24" i="1"/>
  <c r="FM24" i="1" s="1"/>
  <c r="EX20" i="1"/>
  <c r="FM20" i="1" s="1"/>
  <c r="EX16" i="1"/>
  <c r="FM16" i="1" s="1"/>
  <c r="EX12" i="1"/>
  <c r="FM12" i="1" s="1"/>
  <c r="EX8" i="1"/>
  <c r="FM8" i="1" s="1"/>
  <c r="EX7" i="1"/>
  <c r="EW6" i="1" s="1"/>
  <c r="EW56" i="1"/>
  <c r="FL56" i="1" s="1"/>
  <c r="EW54" i="1"/>
  <c r="FL54" i="1" s="1"/>
  <c r="EW52" i="1"/>
  <c r="FL52" i="1" s="1"/>
  <c r="EW50" i="1"/>
  <c r="FL50" i="1" s="1"/>
  <c r="EW48" i="1"/>
  <c r="FL48" i="1" s="1"/>
  <c r="EW46" i="1"/>
  <c r="FL46" i="1" s="1"/>
  <c r="EW44" i="1"/>
  <c r="FL44" i="1" s="1"/>
  <c r="EW42" i="1"/>
  <c r="FL42" i="1" s="1"/>
  <c r="EW40" i="1"/>
  <c r="FL40" i="1" s="1"/>
  <c r="EW38" i="1"/>
  <c r="FL38" i="1" s="1"/>
  <c r="EW36" i="1"/>
  <c r="FL36" i="1" s="1"/>
  <c r="EW34" i="1"/>
  <c r="FL34" i="1" s="1"/>
  <c r="EW32" i="1"/>
  <c r="FL32" i="1" s="1"/>
  <c r="EW30" i="1"/>
  <c r="FL30" i="1" s="1"/>
  <c r="EW28" i="1"/>
  <c r="EW26" i="1"/>
  <c r="EW24" i="1"/>
  <c r="EW22" i="1"/>
  <c r="EW20" i="1"/>
  <c r="EW18" i="1"/>
  <c r="EW16" i="1"/>
  <c r="EW14" i="1"/>
  <c r="EW12" i="1"/>
  <c r="EW10" i="1"/>
  <c r="EW8" i="1"/>
  <c r="EX57" i="1"/>
  <c r="FM57" i="1" s="1"/>
  <c r="EX55" i="1"/>
  <c r="FM55" i="1" s="1"/>
  <c r="EX53" i="1"/>
  <c r="FM53" i="1" s="1"/>
  <c r="EX51" i="1"/>
  <c r="FM51" i="1" s="1"/>
  <c r="EX49" i="1"/>
  <c r="FM49" i="1" s="1"/>
  <c r="EX47" i="1"/>
  <c r="FM47" i="1" s="1"/>
  <c r="EX45" i="1"/>
  <c r="FM45" i="1" s="1"/>
  <c r="EX43" i="1"/>
  <c r="FM43" i="1" s="1"/>
  <c r="EX41" i="1"/>
  <c r="FM41" i="1" s="1"/>
  <c r="EX39" i="1"/>
  <c r="FM39" i="1" s="1"/>
  <c r="EX37" i="1"/>
  <c r="FM37" i="1" s="1"/>
  <c r="EX35" i="1"/>
  <c r="FM35" i="1" s="1"/>
  <c r="EX33" i="1"/>
  <c r="FM33" i="1" s="1"/>
  <c r="EX31" i="1"/>
  <c r="FM31" i="1" s="1"/>
  <c r="EX29" i="1"/>
  <c r="FM29" i="1" s="1"/>
  <c r="EX27" i="1"/>
  <c r="FM27" i="1" s="1"/>
  <c r="EX25" i="1"/>
  <c r="FM25" i="1" s="1"/>
  <c r="EX23" i="1"/>
  <c r="FM23" i="1" s="1"/>
  <c r="EX21" i="1"/>
  <c r="FM21" i="1" s="1"/>
  <c r="EX19" i="1"/>
  <c r="FM19" i="1" s="1"/>
  <c r="EX17" i="1"/>
  <c r="FM17" i="1" s="1"/>
  <c r="EX15" i="1"/>
  <c r="FM15" i="1" s="1"/>
  <c r="EX13" i="1"/>
  <c r="FM13" i="1" s="1"/>
  <c r="EX11" i="1"/>
  <c r="FM11" i="1" s="1"/>
  <c r="EX9" i="1"/>
  <c r="EV9" i="1"/>
  <c r="CJ21" i="1"/>
  <c r="CJ22" i="1" s="1"/>
  <c r="H117" i="1"/>
  <c r="CJ12" i="1"/>
  <c r="W76" i="1" s="1"/>
  <c r="H67" i="1"/>
  <c r="H66" i="1"/>
  <c r="H65" i="1"/>
  <c r="HA14" i="1" l="1"/>
  <c r="CJ78" i="4"/>
  <c r="CI80" i="4" s="1"/>
  <c r="CI71" i="4"/>
  <c r="CV82" i="4"/>
  <c r="GQ12" i="1"/>
  <c r="GQ17" i="1"/>
  <c r="GQ27" i="1"/>
  <c r="GQ25" i="1"/>
  <c r="GQ10" i="1"/>
  <c r="GQ11" i="1"/>
  <c r="GQ13" i="1"/>
  <c r="GQ18" i="1"/>
  <c r="GQ23" i="1"/>
  <c r="GQ21" i="1"/>
  <c r="GQ24" i="1"/>
  <c r="GQ16" i="1"/>
  <c r="GQ28" i="1"/>
  <c r="GQ7" i="1"/>
  <c r="GQ22" i="1"/>
  <c r="GQ9" i="1"/>
  <c r="GQ19" i="1"/>
  <c r="GQ20" i="1"/>
  <c r="GQ15" i="1"/>
  <c r="CC80" i="1"/>
  <c r="CC78" i="1"/>
  <c r="CC76" i="1"/>
  <c r="CC74" i="1"/>
  <c r="CC72" i="1"/>
  <c r="CC70" i="1"/>
  <c r="CC68" i="1"/>
  <c r="CC79" i="1"/>
  <c r="CC77" i="1"/>
  <c r="CC75" i="1"/>
  <c r="CC73" i="1"/>
  <c r="CC71" i="1"/>
  <c r="CC69" i="1"/>
  <c r="CC67" i="1"/>
  <c r="CC66" i="1"/>
  <c r="FL5" i="1"/>
  <c r="FL23" i="1"/>
  <c r="FL11" i="1"/>
  <c r="FL22" i="1"/>
  <c r="FL18" i="1"/>
  <c r="FL14" i="1"/>
  <c r="FL10" i="1"/>
  <c r="FL6" i="1"/>
  <c r="FL27" i="1"/>
  <c r="FL15" i="1"/>
  <c r="FM7" i="1"/>
  <c r="FM9" i="1"/>
  <c r="FL28" i="1"/>
  <c r="FL24" i="1"/>
  <c r="FL20" i="1"/>
  <c r="FL16" i="1"/>
  <c r="FL12" i="1"/>
  <c r="FL8" i="1"/>
  <c r="FL29" i="1"/>
  <c r="FL25" i="1"/>
  <c r="FL21" i="1"/>
  <c r="FL17" i="1"/>
  <c r="FL13" i="1"/>
  <c r="FL9" i="1"/>
  <c r="FL26" i="1"/>
  <c r="CC83" i="1"/>
  <c r="CC84" i="1" s="1"/>
  <c r="CJ77" i="1"/>
  <c r="CT26" i="1"/>
  <c r="CO33" i="1" s="1"/>
  <c r="CS26" i="1"/>
  <c r="CO26" i="1" s="1"/>
  <c r="CX25" i="1"/>
  <c r="CO57" i="1" s="1"/>
  <c r="CW25" i="1"/>
  <c r="CO51" i="1" s="1"/>
  <c r="CV25" i="1"/>
  <c r="CO45" i="1" s="1"/>
  <c r="CU25" i="1"/>
  <c r="CO39" i="1" s="1"/>
  <c r="CT25" i="1"/>
  <c r="CO32" i="1" s="1"/>
  <c r="CS25" i="1"/>
  <c r="CO25" i="1" s="1"/>
  <c r="CX24" i="1"/>
  <c r="CO56" i="1" s="1"/>
  <c r="CW24" i="1"/>
  <c r="CO50" i="1" s="1"/>
  <c r="CV24" i="1"/>
  <c r="CO44" i="1" s="1"/>
  <c r="CU24" i="1"/>
  <c r="CO38" i="1" s="1"/>
  <c r="CT24" i="1"/>
  <c r="CO31" i="1" s="1"/>
  <c r="CS24" i="1"/>
  <c r="CO24" i="1" s="1"/>
  <c r="CX23" i="1"/>
  <c r="CO55" i="1" s="1"/>
  <c r="CW23" i="1"/>
  <c r="CO49" i="1" s="1"/>
  <c r="CV23" i="1"/>
  <c r="CO43" i="1" s="1"/>
  <c r="CU23" i="1"/>
  <c r="CO37" i="1" s="1"/>
  <c r="CT23" i="1"/>
  <c r="CO30" i="1" s="1"/>
  <c r="CS23" i="1"/>
  <c r="CO23" i="1" s="1"/>
  <c r="CX22" i="1"/>
  <c r="CO54" i="1" s="1"/>
  <c r="CW22" i="1"/>
  <c r="CO48" i="1" s="1"/>
  <c r="CV22" i="1"/>
  <c r="CO42" i="1" s="1"/>
  <c r="CU22" i="1"/>
  <c r="CO36" i="1" s="1"/>
  <c r="CT22" i="1"/>
  <c r="CO29" i="1" s="1"/>
  <c r="CS22" i="1"/>
  <c r="CO22" i="1" s="1"/>
  <c r="CJ14" i="1"/>
  <c r="CJ23" i="1"/>
  <c r="CJ7" i="1"/>
  <c r="ED62" i="1"/>
  <c r="FV14" i="1" l="1"/>
  <c r="W73" i="4"/>
  <c r="DA127" i="4"/>
  <c r="DC127" i="4" s="1"/>
  <c r="DA100" i="4"/>
  <c r="DC100" i="4" s="1"/>
  <c r="DA106" i="4"/>
  <c r="DC106" i="4" s="1"/>
  <c r="DA110" i="4"/>
  <c r="DC110" i="4" s="1"/>
  <c r="DA116" i="4"/>
  <c r="DC116" i="4" s="1"/>
  <c r="DA122" i="4"/>
  <c r="DC122" i="4" s="1"/>
  <c r="DA126" i="4"/>
  <c r="DC126" i="4" s="1"/>
  <c r="DA149" i="4"/>
  <c r="DC149" i="4" s="1"/>
  <c r="DA174" i="4"/>
  <c r="DC174" i="4" s="1"/>
  <c r="DA178" i="4"/>
  <c r="DC178" i="4" s="1"/>
  <c r="DA182" i="4"/>
  <c r="DC182" i="4" s="1"/>
  <c r="DA87" i="4"/>
  <c r="DC87" i="4" s="1"/>
  <c r="DA89" i="4"/>
  <c r="DC89" i="4" s="1"/>
  <c r="DA93" i="4"/>
  <c r="DC93" i="4" s="1"/>
  <c r="DA97" i="4"/>
  <c r="DC97" i="4" s="1"/>
  <c r="DA147" i="4"/>
  <c r="DC147" i="4" s="1"/>
  <c r="DA148" i="4"/>
  <c r="DC148" i="4" s="1"/>
  <c r="DA175" i="4"/>
  <c r="DC175" i="4" s="1"/>
  <c r="DA179" i="4"/>
  <c r="DC179" i="4" s="1"/>
  <c r="DA84" i="4"/>
  <c r="DC84" i="4" s="1"/>
  <c r="DA90" i="4"/>
  <c r="DC90" i="4" s="1"/>
  <c r="DA94" i="4"/>
  <c r="DC94" i="4" s="1"/>
  <c r="DA104" i="4"/>
  <c r="DC104" i="4" s="1"/>
  <c r="DA118" i="4"/>
  <c r="DC118" i="4" s="1"/>
  <c r="DA130" i="4"/>
  <c r="DC130" i="4" s="1"/>
  <c r="DA134" i="4"/>
  <c r="DC134" i="4" s="1"/>
  <c r="DA138" i="4"/>
  <c r="DC138" i="4" s="1"/>
  <c r="DA142" i="4"/>
  <c r="DC142" i="4" s="1"/>
  <c r="DA150" i="4"/>
  <c r="DC150" i="4" s="1"/>
  <c r="DA154" i="4"/>
  <c r="DC154" i="4" s="1"/>
  <c r="DA158" i="4"/>
  <c r="DC158" i="4" s="1"/>
  <c r="DA165" i="4"/>
  <c r="DC165" i="4" s="1"/>
  <c r="DA169" i="4"/>
  <c r="DC169" i="4" s="1"/>
  <c r="DA173" i="4"/>
  <c r="DC173" i="4" s="1"/>
  <c r="DA105" i="4"/>
  <c r="DC105" i="4" s="1"/>
  <c r="DA109" i="4"/>
  <c r="DC109" i="4" s="1"/>
  <c r="DA113" i="4"/>
  <c r="DC113" i="4" s="1"/>
  <c r="DA119" i="4"/>
  <c r="DC119" i="4" s="1"/>
  <c r="DA129" i="4"/>
  <c r="DC129" i="4" s="1"/>
  <c r="DA137" i="4"/>
  <c r="DC137" i="4" s="1"/>
  <c r="DA151" i="4"/>
  <c r="DC151" i="4" s="1"/>
  <c r="DA159" i="4"/>
  <c r="DC159" i="4" s="1"/>
  <c r="DA168" i="4"/>
  <c r="DC168" i="4" s="1"/>
  <c r="DA86" i="4"/>
  <c r="DC86" i="4" s="1"/>
  <c r="DA98" i="4"/>
  <c r="DC98" i="4" s="1"/>
  <c r="DA102" i="4"/>
  <c r="DC102" i="4" s="1"/>
  <c r="DA108" i="4"/>
  <c r="DC108" i="4" s="1"/>
  <c r="DA114" i="4"/>
  <c r="DC114" i="4" s="1"/>
  <c r="DA120" i="4"/>
  <c r="DC120" i="4" s="1"/>
  <c r="DA124" i="4"/>
  <c r="DC124" i="4" s="1"/>
  <c r="DA145" i="4"/>
  <c r="DC145" i="4" s="1"/>
  <c r="DA163" i="4"/>
  <c r="DC163" i="4" s="1"/>
  <c r="DA176" i="4"/>
  <c r="DC176" i="4" s="1"/>
  <c r="DA180" i="4"/>
  <c r="DC180" i="4" s="1"/>
  <c r="DA85" i="4"/>
  <c r="DC85" i="4" s="1"/>
  <c r="DA83" i="4"/>
  <c r="DC83" i="4" s="1"/>
  <c r="DA91" i="4"/>
  <c r="DC91" i="4" s="1"/>
  <c r="DA95" i="4"/>
  <c r="DC95" i="4" s="1"/>
  <c r="DA117" i="4"/>
  <c r="DC117" i="4" s="1"/>
  <c r="DA144" i="4"/>
  <c r="DC144" i="4" s="1"/>
  <c r="DA162" i="4"/>
  <c r="DC162" i="4" s="1"/>
  <c r="DA177" i="4"/>
  <c r="DC177" i="4" s="1"/>
  <c r="DA181" i="4"/>
  <c r="DC181" i="4" s="1"/>
  <c r="DA88" i="4"/>
  <c r="DC88" i="4" s="1"/>
  <c r="DA92" i="4"/>
  <c r="DC92" i="4" s="1"/>
  <c r="DA96" i="4"/>
  <c r="DC96" i="4" s="1"/>
  <c r="DA112" i="4"/>
  <c r="DC112" i="4" s="1"/>
  <c r="DA128" i="4"/>
  <c r="DC128" i="4" s="1"/>
  <c r="DA132" i="4"/>
  <c r="DC132" i="4" s="1"/>
  <c r="DA136" i="4"/>
  <c r="DC136" i="4" s="1"/>
  <c r="DA140" i="4"/>
  <c r="DC140" i="4" s="1"/>
  <c r="DA146" i="4"/>
  <c r="DC146" i="4" s="1"/>
  <c r="DA152" i="4"/>
  <c r="DC152" i="4" s="1"/>
  <c r="DA156" i="4"/>
  <c r="DC156" i="4" s="1"/>
  <c r="DA160" i="4"/>
  <c r="DC160" i="4" s="1"/>
  <c r="DA167" i="4"/>
  <c r="DC167" i="4" s="1"/>
  <c r="DA171" i="4"/>
  <c r="DC171" i="4" s="1"/>
  <c r="DA99" i="4"/>
  <c r="DC99" i="4" s="1"/>
  <c r="DA103" i="4"/>
  <c r="DC103" i="4" s="1"/>
  <c r="DA107" i="4"/>
  <c r="DC107" i="4" s="1"/>
  <c r="DA111" i="4"/>
  <c r="DC111" i="4" s="1"/>
  <c r="DA115" i="4"/>
  <c r="DC115" i="4" s="1"/>
  <c r="DA121" i="4"/>
  <c r="DC121" i="4" s="1"/>
  <c r="DA125" i="4"/>
  <c r="DC125" i="4" s="1"/>
  <c r="DA131" i="4"/>
  <c r="DC131" i="4" s="1"/>
  <c r="DA135" i="4"/>
  <c r="DC135" i="4" s="1"/>
  <c r="DA139" i="4"/>
  <c r="DC139" i="4" s="1"/>
  <c r="DA143" i="4"/>
  <c r="DC143" i="4" s="1"/>
  <c r="DA153" i="4"/>
  <c r="DC153" i="4" s="1"/>
  <c r="DA157" i="4"/>
  <c r="DC157" i="4" s="1"/>
  <c r="DA161" i="4"/>
  <c r="DC161" i="4" s="1"/>
  <c r="DA166" i="4"/>
  <c r="DC166" i="4" s="1"/>
  <c r="DA170" i="4"/>
  <c r="DC170" i="4" s="1"/>
  <c r="DA101" i="4"/>
  <c r="DC101" i="4" s="1"/>
  <c r="DA123" i="4"/>
  <c r="DC123" i="4" s="1"/>
  <c r="DA133" i="4"/>
  <c r="DC133" i="4" s="1"/>
  <c r="DA141" i="4"/>
  <c r="DC141" i="4" s="1"/>
  <c r="DA155" i="4"/>
  <c r="DC155" i="4" s="1"/>
  <c r="DA164" i="4"/>
  <c r="DC164" i="4" s="1"/>
  <c r="DA172" i="4"/>
  <c r="DC172" i="4" s="1"/>
  <c r="FV11" i="1"/>
  <c r="FP96" i="1"/>
  <c r="FP63" i="1"/>
  <c r="FP89" i="1"/>
  <c r="FP68" i="1"/>
  <c r="FQ33" i="1"/>
  <c r="FP98" i="1"/>
  <c r="FQ44" i="1"/>
  <c r="FQ56" i="1"/>
  <c r="FP61" i="1"/>
  <c r="FQ42" i="1"/>
  <c r="FP52" i="1"/>
  <c r="FP100" i="1"/>
  <c r="FP85" i="1"/>
  <c r="FP36" i="1"/>
  <c r="FQ24" i="1"/>
  <c r="FP84" i="1"/>
  <c r="FP29" i="1"/>
  <c r="FQ49" i="1"/>
  <c r="FP54" i="1"/>
  <c r="FQ103" i="1"/>
  <c r="FP91" i="1"/>
  <c r="FQ53" i="1"/>
  <c r="FP20" i="1"/>
  <c r="FQ8" i="1"/>
  <c r="FQ40" i="1"/>
  <c r="FQ72" i="1"/>
  <c r="FQ101" i="1"/>
  <c r="FP13" i="1"/>
  <c r="FP45" i="1"/>
  <c r="FQ17" i="1"/>
  <c r="FQ81" i="1"/>
  <c r="FP22" i="1"/>
  <c r="FQ10" i="1"/>
  <c r="FQ74" i="1"/>
  <c r="FP15" i="1"/>
  <c r="FQ51" i="1"/>
  <c r="FP56" i="1"/>
  <c r="FQ83" i="1"/>
  <c r="FP58" i="1"/>
  <c r="FQ39" i="1"/>
  <c r="FP77" i="1"/>
  <c r="FQ65" i="1"/>
  <c r="FQ94" i="1"/>
  <c r="FQ5" i="1"/>
  <c r="FP38" i="1"/>
  <c r="FP70" i="1"/>
  <c r="FQ26" i="1"/>
  <c r="FQ58" i="1"/>
  <c r="FQ87" i="1"/>
  <c r="FP31" i="1"/>
  <c r="FQ19" i="1"/>
  <c r="FP24" i="1"/>
  <c r="FQ12" i="1"/>
  <c r="FQ76" i="1"/>
  <c r="FP65" i="1"/>
  <c r="FP51" i="1"/>
  <c r="FQ100" i="1"/>
  <c r="FP93" i="1"/>
  <c r="FQ46" i="1"/>
  <c r="FQ71" i="1"/>
  <c r="FP12" i="1"/>
  <c r="FP28" i="1"/>
  <c r="FP44" i="1"/>
  <c r="FP60" i="1"/>
  <c r="FP76" i="1"/>
  <c r="FQ16" i="1"/>
  <c r="FQ32" i="1"/>
  <c r="FQ48" i="1"/>
  <c r="FQ64" i="1"/>
  <c r="FQ80" i="1"/>
  <c r="FQ93" i="1"/>
  <c r="FP88" i="1"/>
  <c r="FP104" i="1"/>
  <c r="FP21" i="1"/>
  <c r="FP37" i="1"/>
  <c r="FP53" i="1"/>
  <c r="FP69" i="1"/>
  <c r="FQ9" i="1"/>
  <c r="FQ25" i="1"/>
  <c r="FQ41" i="1"/>
  <c r="FQ57" i="1"/>
  <c r="FQ73" i="1"/>
  <c r="FP86" i="1"/>
  <c r="FQ102" i="1"/>
  <c r="FP97" i="1"/>
  <c r="FP14" i="1"/>
  <c r="FP30" i="1"/>
  <c r="FP46" i="1"/>
  <c r="FP62" i="1"/>
  <c r="FP78" i="1"/>
  <c r="FQ18" i="1"/>
  <c r="FQ34" i="1"/>
  <c r="FQ50" i="1"/>
  <c r="FQ66" i="1"/>
  <c r="FQ82" i="1"/>
  <c r="FQ95" i="1"/>
  <c r="FP90" i="1"/>
  <c r="FP7" i="1"/>
  <c r="FP23" i="1"/>
  <c r="FP47" i="1"/>
  <c r="FP79" i="1"/>
  <c r="FQ35" i="1"/>
  <c r="FQ67" i="1"/>
  <c r="FQ96" i="1"/>
  <c r="FP8" i="1"/>
  <c r="FP40" i="1"/>
  <c r="FP72" i="1"/>
  <c r="FQ28" i="1"/>
  <c r="FQ60" i="1"/>
  <c r="FQ89" i="1"/>
  <c r="FP33" i="1"/>
  <c r="FQ21" i="1"/>
  <c r="FQ85" i="1"/>
  <c r="FP26" i="1"/>
  <c r="FQ14" i="1"/>
  <c r="FQ78" i="1"/>
  <c r="FP19" i="1"/>
  <c r="FQ7" i="1"/>
  <c r="FP5" i="1"/>
  <c r="FP10" i="1"/>
  <c r="FP82" i="1"/>
  <c r="FP95" i="1"/>
  <c r="FP17" i="1"/>
  <c r="FP49" i="1"/>
  <c r="FP81" i="1"/>
  <c r="FQ37" i="1"/>
  <c r="FQ69" i="1"/>
  <c r="FQ98" i="1"/>
  <c r="FP42" i="1"/>
  <c r="FP74" i="1"/>
  <c r="FQ30" i="1"/>
  <c r="FQ62" i="1"/>
  <c r="FQ91" i="1"/>
  <c r="FP102" i="1"/>
  <c r="FP35" i="1"/>
  <c r="FP67" i="1"/>
  <c r="FQ23" i="1"/>
  <c r="FQ55" i="1"/>
  <c r="FP103" i="1"/>
  <c r="FP39" i="1"/>
  <c r="FP55" i="1"/>
  <c r="FP71" i="1"/>
  <c r="FQ11" i="1"/>
  <c r="FQ27" i="1"/>
  <c r="FQ43" i="1"/>
  <c r="FQ59" i="1"/>
  <c r="FQ75" i="1"/>
  <c r="FQ88" i="1"/>
  <c r="FQ104" i="1"/>
  <c r="FP99" i="1"/>
  <c r="FP16" i="1"/>
  <c r="FP32" i="1"/>
  <c r="FP48" i="1"/>
  <c r="FP64" i="1"/>
  <c r="FP80" i="1"/>
  <c r="FQ20" i="1"/>
  <c r="FQ36" i="1"/>
  <c r="FQ52" i="1"/>
  <c r="FQ68" i="1"/>
  <c r="FQ84" i="1"/>
  <c r="FQ97" i="1"/>
  <c r="FP92" i="1"/>
  <c r="FP9" i="1"/>
  <c r="FP25" i="1"/>
  <c r="FP41" i="1"/>
  <c r="FP57" i="1"/>
  <c r="FP73" i="1"/>
  <c r="FQ13" i="1"/>
  <c r="FQ29" i="1"/>
  <c r="FQ45" i="1"/>
  <c r="FQ61" i="1"/>
  <c r="FQ77" i="1"/>
  <c r="FQ90" i="1"/>
  <c r="FP83" i="1"/>
  <c r="FP101" i="1"/>
  <c r="FP18" i="1"/>
  <c r="FP34" i="1"/>
  <c r="FP50" i="1"/>
  <c r="FP66" i="1"/>
  <c r="FQ6" i="1"/>
  <c r="FQ22" i="1"/>
  <c r="FQ38" i="1"/>
  <c r="FQ54" i="1"/>
  <c r="FQ70" i="1"/>
  <c r="FQ86" i="1"/>
  <c r="FQ99" i="1"/>
  <c r="FP94" i="1"/>
  <c r="FP11" i="1"/>
  <c r="FP27" i="1"/>
  <c r="FP43" i="1"/>
  <c r="FP59" i="1"/>
  <c r="FP75" i="1"/>
  <c r="FQ15" i="1"/>
  <c r="FQ31" i="1"/>
  <c r="FQ47" i="1"/>
  <c r="FQ63" i="1"/>
  <c r="FQ79" i="1"/>
  <c r="FQ92" i="1"/>
  <c r="FP87" i="1"/>
  <c r="FP6" i="1"/>
  <c r="W120" i="1"/>
  <c r="DB84" i="1"/>
  <c r="DB88" i="1"/>
  <c r="DB92" i="1"/>
  <c r="DB83" i="1"/>
  <c r="DB87" i="1"/>
  <c r="DB91" i="1"/>
  <c r="DB110" i="1"/>
  <c r="DB95" i="1"/>
  <c r="DB99" i="1"/>
  <c r="DB103" i="1"/>
  <c r="DB107" i="1"/>
  <c r="DB111" i="1"/>
  <c r="DB115" i="1"/>
  <c r="DB119" i="1"/>
  <c r="DB93" i="1"/>
  <c r="DB100" i="1"/>
  <c r="DB104" i="1"/>
  <c r="DB108" i="1"/>
  <c r="DB114" i="1"/>
  <c r="DB118" i="1"/>
  <c r="DB90" i="1"/>
  <c r="DB85" i="1"/>
  <c r="DB96" i="1"/>
  <c r="DB97" i="1"/>
  <c r="DB105" i="1"/>
  <c r="DB113" i="1"/>
  <c r="DB121" i="1"/>
  <c r="DB102" i="1"/>
  <c r="DB112" i="1"/>
  <c r="DB122" i="1"/>
  <c r="DB94" i="1"/>
  <c r="DB89" i="1"/>
  <c r="DB120" i="1"/>
  <c r="DB101" i="1"/>
  <c r="DB109" i="1"/>
  <c r="DB117" i="1"/>
  <c r="DB98" i="1"/>
  <c r="DB106" i="1"/>
  <c r="DB116" i="1"/>
  <c r="DB86" i="1"/>
  <c r="CP157" i="1"/>
  <c r="CP137" i="1"/>
  <c r="CP141" i="1"/>
  <c r="CP87" i="1"/>
  <c r="CP136" i="1"/>
  <c r="CP149" i="1"/>
  <c r="CP112" i="1"/>
  <c r="CP121" i="1"/>
  <c r="CP130" i="1"/>
  <c r="CP131" i="1"/>
  <c r="CP123" i="1"/>
  <c r="CP145" i="1"/>
  <c r="CP99" i="1"/>
  <c r="CP90" i="1"/>
  <c r="CP153" i="1"/>
  <c r="CP182" i="1"/>
  <c r="CP135" i="1"/>
  <c r="CV177" i="1"/>
  <c r="CP111" i="1"/>
  <c r="CP165" i="1"/>
  <c r="CP129" i="1"/>
  <c r="CP179" i="1"/>
  <c r="CP108" i="1"/>
  <c r="CP140" i="1"/>
  <c r="CP97" i="1"/>
  <c r="CP89" i="1"/>
  <c r="CP175" i="1"/>
  <c r="CV113" i="1"/>
  <c r="CP124" i="1"/>
  <c r="CP120" i="1"/>
  <c r="CP144" i="1"/>
  <c r="CP160" i="1"/>
  <c r="CP138" i="1"/>
  <c r="CP152" i="1"/>
  <c r="CP83" i="1"/>
  <c r="CP132" i="1"/>
  <c r="CP178" i="1"/>
  <c r="CP148" i="1"/>
  <c r="CP174" i="1"/>
  <c r="CP168" i="1"/>
  <c r="CP147" i="1"/>
  <c r="CP173" i="1"/>
  <c r="CP177" i="1"/>
  <c r="CP180" i="1"/>
  <c r="CP161" i="1"/>
  <c r="CP133" i="1"/>
  <c r="CP163" i="1"/>
  <c r="CP181" i="1"/>
  <c r="CP98" i="1"/>
  <c r="CP109" i="1"/>
  <c r="CP134" i="1"/>
  <c r="CP105" i="1"/>
  <c r="CP106" i="1"/>
  <c r="CP104" i="1"/>
  <c r="CV148" i="1"/>
  <c r="CV178" i="1"/>
  <c r="CV114" i="1"/>
  <c r="CV117" i="1"/>
  <c r="CV135" i="1"/>
  <c r="CV132" i="1"/>
  <c r="CV89" i="1"/>
  <c r="CP139" i="1"/>
  <c r="CV158" i="1"/>
  <c r="CP128" i="1"/>
  <c r="CP171" i="1"/>
  <c r="CP170" i="1"/>
  <c r="CV121" i="1"/>
  <c r="CV134" i="1"/>
  <c r="CV165" i="1"/>
  <c r="CV155" i="1"/>
  <c r="CV91" i="1"/>
  <c r="CV108" i="1"/>
  <c r="CP118" i="1"/>
  <c r="CP167" i="1"/>
  <c r="CP166" i="1"/>
  <c r="CV161" i="1"/>
  <c r="CV154" i="1"/>
  <c r="CV90" i="1"/>
  <c r="CV175" i="1"/>
  <c r="CV111" i="1"/>
  <c r="CV164" i="1"/>
  <c r="CV169" i="1"/>
  <c r="CV126" i="1"/>
  <c r="CV141" i="1"/>
  <c r="CV147" i="1"/>
  <c r="CV168" i="1"/>
  <c r="CV92" i="1"/>
  <c r="CV130" i="1"/>
  <c r="CV149" i="1"/>
  <c r="CV151" i="1"/>
  <c r="CV87" i="1"/>
  <c r="CV100" i="1"/>
  <c r="CP84" i="1"/>
  <c r="CP162" i="1"/>
  <c r="CP96" i="1"/>
  <c r="CP151" i="1"/>
  <c r="CP150" i="1"/>
  <c r="CV153" i="1"/>
  <c r="CV150" i="1"/>
  <c r="CV86" i="1"/>
  <c r="CV171" i="1"/>
  <c r="CV107" i="1"/>
  <c r="CV152" i="1"/>
  <c r="CP91" i="1"/>
  <c r="CP143" i="1"/>
  <c r="CP142" i="1"/>
  <c r="CV124" i="1"/>
  <c r="CV170" i="1"/>
  <c r="CV106" i="1"/>
  <c r="CV101" i="1"/>
  <c r="CV127" i="1"/>
  <c r="CV112" i="1"/>
  <c r="CV136" i="1"/>
  <c r="CV174" i="1"/>
  <c r="CV181" i="1"/>
  <c r="CV163" i="1"/>
  <c r="CV99" i="1"/>
  <c r="CV128" i="1"/>
  <c r="CP158" i="1"/>
  <c r="CP119" i="1"/>
  <c r="CP156" i="1"/>
  <c r="CP146" i="1"/>
  <c r="CP164" i="1"/>
  <c r="CP176" i="1"/>
  <c r="CP86" i="1"/>
  <c r="CP114" i="1"/>
  <c r="CP102" i="1"/>
  <c r="CP169" i="1"/>
  <c r="CP172" i="1"/>
  <c r="CP92" i="1"/>
  <c r="CP103" i="1"/>
  <c r="CP116" i="1"/>
  <c r="CV142" i="1"/>
  <c r="CP107" i="1"/>
  <c r="CP155" i="1"/>
  <c r="CP154" i="1"/>
  <c r="CV145" i="1"/>
  <c r="CV146" i="1"/>
  <c r="CV172" i="1"/>
  <c r="CV167" i="1"/>
  <c r="CV103" i="1"/>
  <c r="CV140" i="1"/>
  <c r="CP125" i="1"/>
  <c r="CP110" i="1"/>
  <c r="CP117" i="1"/>
  <c r="CP127" i="1"/>
  <c r="CP126" i="1"/>
  <c r="CV104" i="1"/>
  <c r="CV166" i="1"/>
  <c r="CV102" i="1"/>
  <c r="CV97" i="1"/>
  <c r="CV123" i="1"/>
  <c r="CV96" i="1"/>
  <c r="CP113" i="1"/>
  <c r="CP122" i="1"/>
  <c r="CP115" i="1"/>
  <c r="CV176" i="1"/>
  <c r="CV93" i="1"/>
  <c r="CV122" i="1"/>
  <c r="CV133" i="1"/>
  <c r="CV143" i="1"/>
  <c r="CV156" i="1"/>
  <c r="CV88" i="1"/>
  <c r="CV105" i="1"/>
  <c r="CV94" i="1"/>
  <c r="CV179" i="1"/>
  <c r="CV115" i="1"/>
  <c r="CV180" i="1"/>
  <c r="CV162" i="1"/>
  <c r="CV98" i="1"/>
  <c r="CV85" i="1"/>
  <c r="CV119" i="1"/>
  <c r="CV84" i="1"/>
  <c r="CP93" i="1"/>
  <c r="CP159" i="1"/>
  <c r="CP101" i="1"/>
  <c r="CP100" i="1"/>
  <c r="CP94" i="1"/>
  <c r="CV160" i="1"/>
  <c r="CV182" i="1"/>
  <c r="CV118" i="1"/>
  <c r="CV125" i="1"/>
  <c r="CV139" i="1"/>
  <c r="CV144" i="1"/>
  <c r="CV157" i="1"/>
  <c r="CP95" i="1"/>
  <c r="CP85" i="1"/>
  <c r="CP88" i="1"/>
  <c r="CV129" i="1"/>
  <c r="CV138" i="1"/>
  <c r="CV173" i="1"/>
  <c r="CV159" i="1"/>
  <c r="CV95" i="1"/>
  <c r="CV116" i="1"/>
  <c r="CV137" i="1"/>
  <c r="CV110" i="1"/>
  <c r="CV109" i="1"/>
  <c r="CV131" i="1"/>
  <c r="CV120" i="1"/>
  <c r="DN86" i="1"/>
  <c r="DN90" i="1"/>
  <c r="DN94" i="1"/>
  <c r="DN98" i="1"/>
  <c r="DN102" i="1"/>
  <c r="DN106" i="1"/>
  <c r="DN110" i="1"/>
  <c r="DN114" i="1"/>
  <c r="DN118" i="1"/>
  <c r="DN122" i="1"/>
  <c r="DN126" i="1"/>
  <c r="DN130" i="1"/>
  <c r="DN134" i="1"/>
  <c r="DN138" i="1"/>
  <c r="DN142" i="1"/>
  <c r="DN146" i="1"/>
  <c r="DN150" i="1"/>
  <c r="DN154" i="1"/>
  <c r="DN158" i="1"/>
  <c r="DN162" i="1"/>
  <c r="DN166" i="1"/>
  <c r="DN170" i="1"/>
  <c r="DN174" i="1"/>
  <c r="DN178" i="1"/>
  <c r="DN182" i="1"/>
  <c r="DN179" i="1"/>
  <c r="DN85" i="1"/>
  <c r="DN89" i="1"/>
  <c r="DN93" i="1"/>
  <c r="DN97" i="1"/>
  <c r="DN101" i="1"/>
  <c r="DN105" i="1"/>
  <c r="DN109" i="1"/>
  <c r="DN113" i="1"/>
  <c r="DN117" i="1"/>
  <c r="DN121" i="1"/>
  <c r="DN125" i="1"/>
  <c r="DN129" i="1"/>
  <c r="DN133" i="1"/>
  <c r="DN137" i="1"/>
  <c r="DN141" i="1"/>
  <c r="DN145" i="1"/>
  <c r="DN149" i="1"/>
  <c r="DN153" i="1"/>
  <c r="DN157" i="1"/>
  <c r="DN161" i="1"/>
  <c r="DN165" i="1"/>
  <c r="DN169" i="1"/>
  <c r="DN173" i="1"/>
  <c r="DN177" i="1"/>
  <c r="DN181" i="1"/>
  <c r="DN171" i="1"/>
  <c r="DN84" i="1"/>
  <c r="DN88" i="1"/>
  <c r="DN92" i="1"/>
  <c r="DN96" i="1"/>
  <c r="DN100" i="1"/>
  <c r="DN104" i="1"/>
  <c r="DN108" i="1"/>
  <c r="DN112" i="1"/>
  <c r="DN116" i="1"/>
  <c r="DN120" i="1"/>
  <c r="DN124" i="1"/>
  <c r="DN128" i="1"/>
  <c r="DN132" i="1"/>
  <c r="DN136" i="1"/>
  <c r="DN140" i="1"/>
  <c r="DN144" i="1"/>
  <c r="DN148" i="1"/>
  <c r="DN152" i="1"/>
  <c r="DN156" i="1"/>
  <c r="DN160" i="1"/>
  <c r="DN164" i="1"/>
  <c r="DN168" i="1"/>
  <c r="DN172" i="1"/>
  <c r="DN176" i="1"/>
  <c r="DN180" i="1"/>
  <c r="DN175" i="1"/>
  <c r="DN87" i="1"/>
  <c r="DN91" i="1"/>
  <c r="DN95" i="1"/>
  <c r="DN99" i="1"/>
  <c r="DN103" i="1"/>
  <c r="DN107" i="1"/>
  <c r="DN111" i="1"/>
  <c r="DN115" i="1"/>
  <c r="DN119" i="1"/>
  <c r="DN123" i="1"/>
  <c r="DN127" i="1"/>
  <c r="DN131" i="1"/>
  <c r="DN135" i="1"/>
  <c r="DN139" i="1"/>
  <c r="DN143" i="1"/>
  <c r="DN147" i="1"/>
  <c r="DN151" i="1"/>
  <c r="DN155" i="1"/>
  <c r="DN159" i="1"/>
  <c r="DN163" i="1"/>
  <c r="DN167" i="1"/>
  <c r="DN83" i="1"/>
  <c r="CJ159" i="1"/>
  <c r="CJ91" i="1"/>
  <c r="CJ114" i="1"/>
  <c r="CJ165" i="1"/>
  <c r="CJ176" i="1"/>
  <c r="CJ135" i="1"/>
  <c r="CJ106" i="1"/>
  <c r="CJ113" i="1"/>
  <c r="CJ177" i="1"/>
  <c r="CJ140" i="1"/>
  <c r="CJ126" i="1"/>
  <c r="CJ115" i="1"/>
  <c r="CJ179" i="1"/>
  <c r="CJ93" i="1"/>
  <c r="CJ157" i="1"/>
  <c r="CJ120" i="1"/>
  <c r="CJ83" i="1"/>
  <c r="CJ143" i="1"/>
  <c r="CJ137" i="1"/>
  <c r="CJ132" i="1"/>
  <c r="CJ110" i="1"/>
  <c r="CJ127" i="1"/>
  <c r="CJ107" i="1"/>
  <c r="CJ101" i="1"/>
  <c r="CJ160" i="1"/>
  <c r="CJ95" i="1"/>
  <c r="CJ34" i="1"/>
  <c r="CJ171" i="1"/>
  <c r="CJ133" i="1"/>
  <c r="CJ144" i="1"/>
  <c r="CJ119" i="1"/>
  <c r="CJ84" i="1"/>
  <c r="CJ97" i="1"/>
  <c r="CJ161" i="1"/>
  <c r="CJ124" i="1"/>
  <c r="CJ90" i="1"/>
  <c r="CJ99" i="1"/>
  <c r="CJ163" i="1"/>
  <c r="CJ170" i="1"/>
  <c r="CJ141" i="1"/>
  <c r="CJ104" i="1"/>
  <c r="CJ168" i="1"/>
  <c r="CJ182" i="1"/>
  <c r="CJ121" i="1"/>
  <c r="CJ116" i="1"/>
  <c r="CJ180" i="1"/>
  <c r="CJ111" i="1"/>
  <c r="CJ169" i="1"/>
  <c r="CJ154" i="1"/>
  <c r="CJ128" i="1"/>
  <c r="CJ150" i="1"/>
  <c r="CJ105" i="1"/>
  <c r="CJ155" i="1"/>
  <c r="CJ117" i="1"/>
  <c r="CJ112" i="1"/>
  <c r="CJ103" i="1"/>
  <c r="CJ167" i="1"/>
  <c r="CJ178" i="1"/>
  <c r="CJ145" i="1"/>
  <c r="CJ108" i="1"/>
  <c r="CJ172" i="1"/>
  <c r="CJ87" i="1"/>
  <c r="CJ147" i="1"/>
  <c r="CJ134" i="1"/>
  <c r="CJ125" i="1"/>
  <c r="CJ88" i="1"/>
  <c r="CJ152" i="1"/>
  <c r="CJ146" i="1"/>
  <c r="CJ89" i="1"/>
  <c r="CJ100" i="1"/>
  <c r="CJ164" i="1"/>
  <c r="CJ174" i="1"/>
  <c r="CJ162" i="1"/>
  <c r="CJ86" i="1"/>
  <c r="CJ181" i="1"/>
  <c r="CJ166" i="1"/>
  <c r="CJ122" i="1"/>
  <c r="CJ123" i="1"/>
  <c r="CJ85" i="1"/>
  <c r="CJ96" i="1"/>
  <c r="CJ130" i="1"/>
  <c r="CJ151" i="1"/>
  <c r="CJ142" i="1"/>
  <c r="CJ129" i="1"/>
  <c r="CJ92" i="1"/>
  <c r="CJ156" i="1"/>
  <c r="CJ158" i="1"/>
  <c r="CJ131" i="1"/>
  <c r="CJ98" i="1"/>
  <c r="CJ109" i="1"/>
  <c r="CJ173" i="1"/>
  <c r="CJ136" i="1"/>
  <c r="CJ118" i="1"/>
  <c r="CJ94" i="1"/>
  <c r="CJ153" i="1"/>
  <c r="CJ148" i="1"/>
  <c r="CJ138" i="1"/>
  <c r="CJ175" i="1"/>
  <c r="CJ139" i="1"/>
  <c r="CJ149" i="1"/>
  <c r="CJ102" i="1"/>
  <c r="CJ24" i="1"/>
  <c r="CI25" i="1" s="1"/>
  <c r="CJ17" i="1"/>
  <c r="CI18" i="1" s="1"/>
  <c r="CJ41" i="1"/>
  <c r="CJ59" i="1"/>
  <c r="CJ79" i="1"/>
  <c r="CJ50" i="1"/>
  <c r="CJ68" i="1"/>
  <c r="EB70" i="1"/>
  <c r="ED70" i="1" s="1"/>
  <c r="EB71" i="1"/>
  <c r="ED71" i="1" s="1"/>
  <c r="EB64" i="1"/>
  <c r="ED64" i="1" s="1"/>
  <c r="EB65" i="1"/>
  <c r="ED65" i="1" s="1"/>
  <c r="EB66" i="1"/>
  <c r="ED66" i="1" s="1"/>
  <c r="EB67" i="1"/>
  <c r="ED67" i="1" s="1"/>
  <c r="EB68" i="1"/>
  <c r="ED68" i="1" s="1"/>
  <c r="EB69" i="1"/>
  <c r="ED69" i="1" s="1"/>
  <c r="EB63" i="1"/>
  <c r="ED63" i="1" s="1"/>
  <c r="DB82" i="4" l="1"/>
  <c r="W74" i="4" s="1"/>
  <c r="FT11" i="1"/>
  <c r="FT12" i="1" s="1"/>
  <c r="FT13" i="1" s="1"/>
  <c r="FT14" i="1" s="1"/>
  <c r="FT15" i="1" s="1"/>
  <c r="FT16" i="1" s="1"/>
  <c r="FT17" i="1" s="1"/>
  <c r="FT18" i="1" s="1"/>
  <c r="FT19" i="1" s="1"/>
  <c r="FT20" i="1" s="1"/>
  <c r="FT21" i="1" s="1"/>
  <c r="FT22" i="1" s="1"/>
  <c r="FT23" i="1" s="1"/>
  <c r="FT24" i="1" s="1"/>
  <c r="FT25" i="1" s="1"/>
  <c r="FT26" i="1" s="1"/>
  <c r="FT27" i="1" s="1"/>
  <c r="FT28" i="1" s="1"/>
  <c r="FT29" i="1" s="1"/>
  <c r="FT30" i="1" s="1"/>
  <c r="FT31" i="1" s="1"/>
  <c r="FT32" i="1" s="1"/>
  <c r="FT33" i="1" s="1"/>
  <c r="FT34" i="1" s="1"/>
  <c r="FT35" i="1" s="1"/>
  <c r="FT36" i="1" s="1"/>
  <c r="FT37" i="1" s="1"/>
  <c r="FT38" i="1" s="1"/>
  <c r="FT39" i="1" s="1"/>
  <c r="FT40" i="1" s="1"/>
  <c r="FT41" i="1" s="1"/>
  <c r="FT42" i="1" s="1"/>
  <c r="FT43" i="1" s="1"/>
  <c r="FT44" i="1" s="1"/>
  <c r="FT45" i="1" s="1"/>
  <c r="FT46" i="1" s="1"/>
  <c r="FT47" i="1" s="1"/>
  <c r="FT48" i="1" s="1"/>
  <c r="FT49" i="1" s="1"/>
  <c r="FT50" i="1" s="1"/>
  <c r="FT51" i="1" s="1"/>
  <c r="FT52" i="1" s="1"/>
  <c r="FT53" i="1" s="1"/>
  <c r="FT54" i="1" s="1"/>
  <c r="FT55" i="1" s="1"/>
  <c r="FT56" i="1" s="1"/>
  <c r="FT57" i="1" s="1"/>
  <c r="FT58" i="1" s="1"/>
  <c r="FT59" i="1" s="1"/>
  <c r="FT60" i="1" s="1"/>
  <c r="FT61" i="1" s="1"/>
  <c r="FT62" i="1" s="1"/>
  <c r="FT63" i="1" s="1"/>
  <c r="FT64" i="1" s="1"/>
  <c r="FT65" i="1" s="1"/>
  <c r="FT66" i="1" s="1"/>
  <c r="FT67" i="1" s="1"/>
  <c r="FT68" i="1" s="1"/>
  <c r="FT69" i="1" s="1"/>
  <c r="FT70" i="1" s="1"/>
  <c r="FT71" i="1" s="1"/>
  <c r="FT72" i="1" s="1"/>
  <c r="FT73" i="1" s="1"/>
  <c r="FT74" i="1" s="1"/>
  <c r="FT75" i="1" s="1"/>
  <c r="FT76" i="1" s="1"/>
  <c r="FT77" i="1" s="1"/>
  <c r="FT78" i="1" s="1"/>
  <c r="FT79" i="1" s="1"/>
  <c r="FT80" i="1" s="1"/>
  <c r="FT81" i="1" s="1"/>
  <c r="FT82" i="1" s="1"/>
  <c r="FT83" i="1" s="1"/>
  <c r="FT84" i="1" s="1"/>
  <c r="FT85" i="1" s="1"/>
  <c r="FT86" i="1" s="1"/>
  <c r="FT87" i="1" s="1"/>
  <c r="FT88" i="1" s="1"/>
  <c r="FT89" i="1" s="1"/>
  <c r="FT90" i="1" s="1"/>
  <c r="FT91" i="1" s="1"/>
  <c r="FT92" i="1" s="1"/>
  <c r="FT93" i="1" s="1"/>
  <c r="FT94" i="1" s="1"/>
  <c r="FT95" i="1" s="1"/>
  <c r="FT96" i="1" s="1"/>
  <c r="FT97" i="1" s="1"/>
  <c r="FT98" i="1" s="1"/>
  <c r="FT99" i="1" s="1"/>
  <c r="FT100" i="1" s="1"/>
  <c r="FT101" i="1" s="1"/>
  <c r="FT102" i="1" s="1"/>
  <c r="FT103" i="1" s="1"/>
  <c r="FT104" i="1" s="1"/>
  <c r="FT5" i="1"/>
  <c r="FT7" i="1"/>
  <c r="FU6" i="1"/>
  <c r="FU10" i="1"/>
  <c r="FT9" i="1"/>
  <c r="FT8" i="1"/>
  <c r="FU11" i="1"/>
  <c r="FU12" i="1" s="1"/>
  <c r="FU13" i="1" s="1"/>
  <c r="FU14" i="1" s="1"/>
  <c r="FU15" i="1" s="1"/>
  <c r="FU16" i="1" s="1"/>
  <c r="FU17" i="1" s="1"/>
  <c r="FU18" i="1" s="1"/>
  <c r="FU19" i="1" s="1"/>
  <c r="FU20" i="1" s="1"/>
  <c r="FU21" i="1" s="1"/>
  <c r="FU22" i="1" s="1"/>
  <c r="FU23" i="1" s="1"/>
  <c r="FU24" i="1" s="1"/>
  <c r="FU25" i="1" s="1"/>
  <c r="FU26" i="1" s="1"/>
  <c r="FU27" i="1" s="1"/>
  <c r="FU28" i="1" s="1"/>
  <c r="FU29" i="1" s="1"/>
  <c r="FU30" i="1" s="1"/>
  <c r="FU31" i="1" s="1"/>
  <c r="FU32" i="1" s="1"/>
  <c r="FU33" i="1" s="1"/>
  <c r="FU34" i="1" s="1"/>
  <c r="FU35" i="1" s="1"/>
  <c r="FU36" i="1" s="1"/>
  <c r="FU37" i="1" s="1"/>
  <c r="FU38" i="1" s="1"/>
  <c r="FU39" i="1" s="1"/>
  <c r="FU40" i="1" s="1"/>
  <c r="FU41" i="1" s="1"/>
  <c r="FU42" i="1" s="1"/>
  <c r="FU43" i="1" s="1"/>
  <c r="FU44" i="1" s="1"/>
  <c r="FU45" i="1" s="1"/>
  <c r="FU46" i="1" s="1"/>
  <c r="FU47" i="1" s="1"/>
  <c r="FU48" i="1" s="1"/>
  <c r="FU49" i="1" s="1"/>
  <c r="FU50" i="1" s="1"/>
  <c r="FU51" i="1" s="1"/>
  <c r="FU52" i="1" s="1"/>
  <c r="FU53" i="1" s="1"/>
  <c r="FU54" i="1" s="1"/>
  <c r="FU55" i="1" s="1"/>
  <c r="FU56" i="1" s="1"/>
  <c r="FU57" i="1" s="1"/>
  <c r="FU58" i="1" s="1"/>
  <c r="FU59" i="1" s="1"/>
  <c r="FU60" i="1" s="1"/>
  <c r="FU61" i="1" s="1"/>
  <c r="FU62" i="1" s="1"/>
  <c r="FU63" i="1" s="1"/>
  <c r="FU64" i="1" s="1"/>
  <c r="FU65" i="1" s="1"/>
  <c r="FU66" i="1" s="1"/>
  <c r="FU67" i="1" s="1"/>
  <c r="FU68" i="1" s="1"/>
  <c r="FU69" i="1" s="1"/>
  <c r="FU70" i="1" s="1"/>
  <c r="FU71" i="1" s="1"/>
  <c r="FU72" i="1" s="1"/>
  <c r="FU73" i="1" s="1"/>
  <c r="FU74" i="1" s="1"/>
  <c r="FU75" i="1" s="1"/>
  <c r="FU76" i="1" s="1"/>
  <c r="FU77" i="1" s="1"/>
  <c r="FU78" i="1" s="1"/>
  <c r="FU79" i="1" s="1"/>
  <c r="FU80" i="1" s="1"/>
  <c r="FU81" i="1" s="1"/>
  <c r="FU82" i="1" s="1"/>
  <c r="FU83" i="1" s="1"/>
  <c r="FU84" i="1" s="1"/>
  <c r="FU85" i="1" s="1"/>
  <c r="FU86" i="1" s="1"/>
  <c r="FU87" i="1" s="1"/>
  <c r="FU88" i="1" s="1"/>
  <c r="FU89" i="1" s="1"/>
  <c r="FU90" i="1" s="1"/>
  <c r="FU91" i="1" s="1"/>
  <c r="FU92" i="1" s="1"/>
  <c r="FU93" i="1" s="1"/>
  <c r="FU94" i="1" s="1"/>
  <c r="FU95" i="1" s="1"/>
  <c r="FU96" i="1" s="1"/>
  <c r="FU97" i="1" s="1"/>
  <c r="FU98" i="1" s="1"/>
  <c r="FU99" i="1" s="1"/>
  <c r="FU100" i="1" s="1"/>
  <c r="FU101" i="1" s="1"/>
  <c r="FU102" i="1" s="1"/>
  <c r="FU103" i="1" s="1"/>
  <c r="FU104" i="1" s="1"/>
  <c r="FU8" i="1"/>
  <c r="FT10" i="1"/>
  <c r="FU7" i="1"/>
  <c r="FU9" i="1"/>
  <c r="FT6" i="1"/>
  <c r="FU5" i="1"/>
  <c r="DH86" i="1"/>
  <c r="DH90" i="1"/>
  <c r="DH94" i="1"/>
  <c r="DH98" i="1"/>
  <c r="DH102" i="1"/>
  <c r="DH106" i="1"/>
  <c r="DH110" i="1"/>
  <c r="DH114" i="1"/>
  <c r="DH118" i="1"/>
  <c r="DH122" i="1"/>
  <c r="DH126" i="1"/>
  <c r="DH130" i="1"/>
  <c r="DH134" i="1"/>
  <c r="DH138" i="1"/>
  <c r="DH142" i="1"/>
  <c r="DH146" i="1"/>
  <c r="DH150" i="1"/>
  <c r="DH154" i="1"/>
  <c r="DH158" i="1"/>
  <c r="DH162" i="1"/>
  <c r="DH166" i="1"/>
  <c r="DH170" i="1"/>
  <c r="DH174" i="1"/>
  <c r="DH85" i="1"/>
  <c r="DH89" i="1"/>
  <c r="DH93" i="1"/>
  <c r="DH97" i="1"/>
  <c r="DH101" i="1"/>
  <c r="DH105" i="1"/>
  <c r="DH109" i="1"/>
  <c r="DH113" i="1"/>
  <c r="DH117" i="1"/>
  <c r="DH121" i="1"/>
  <c r="DH125" i="1"/>
  <c r="DH129" i="1"/>
  <c r="DH133" i="1"/>
  <c r="DH137" i="1"/>
  <c r="DH141" i="1"/>
  <c r="DH145" i="1"/>
  <c r="DH149" i="1"/>
  <c r="DH153" i="1"/>
  <c r="DH157" i="1"/>
  <c r="DH161" i="1"/>
  <c r="DH165" i="1"/>
  <c r="DH169" i="1"/>
  <c r="DH173" i="1"/>
  <c r="DH177" i="1"/>
  <c r="DH181" i="1"/>
  <c r="DH84" i="1"/>
  <c r="DH88" i="1"/>
  <c r="DH92" i="1"/>
  <c r="DH100" i="1"/>
  <c r="DH104" i="1"/>
  <c r="DH108" i="1"/>
  <c r="DH112" i="1"/>
  <c r="DH116" i="1"/>
  <c r="DH120" i="1"/>
  <c r="DH124" i="1"/>
  <c r="DH128" i="1"/>
  <c r="DH132" i="1"/>
  <c r="DH136" i="1"/>
  <c r="DH140" i="1"/>
  <c r="DH148" i="1"/>
  <c r="DH152" i="1"/>
  <c r="DH156" i="1"/>
  <c r="DH160" i="1"/>
  <c r="DH168" i="1"/>
  <c r="DH172" i="1"/>
  <c r="DH176" i="1"/>
  <c r="DH178" i="1"/>
  <c r="DH96" i="1"/>
  <c r="DH144" i="1"/>
  <c r="DH164" i="1"/>
  <c r="DH180" i="1"/>
  <c r="DH87" i="1"/>
  <c r="DH91" i="1"/>
  <c r="DH95" i="1"/>
  <c r="DH99" i="1"/>
  <c r="DH103" i="1"/>
  <c r="DH107" i="1"/>
  <c r="DH111" i="1"/>
  <c r="DH115" i="1"/>
  <c r="DH119" i="1"/>
  <c r="DH123" i="1"/>
  <c r="DH127" i="1"/>
  <c r="DH131" i="1"/>
  <c r="DH135" i="1"/>
  <c r="DH139" i="1"/>
  <c r="DH143" i="1"/>
  <c r="DH147" i="1"/>
  <c r="DH151" i="1"/>
  <c r="DH155" i="1"/>
  <c r="DH159" i="1"/>
  <c r="DH163" i="1"/>
  <c r="DH167" i="1"/>
  <c r="DH171" i="1"/>
  <c r="DH175" i="1"/>
  <c r="DH179" i="1"/>
  <c r="DH83" i="1"/>
  <c r="DH182" i="1"/>
  <c r="CJ70" i="1"/>
  <c r="DB126" i="1"/>
  <c r="DB142" i="1"/>
  <c r="DB158" i="1"/>
  <c r="DB174" i="1"/>
  <c r="DB125" i="1"/>
  <c r="DB129" i="1"/>
  <c r="DB133" i="1"/>
  <c r="DB137" i="1"/>
  <c r="DB141" i="1"/>
  <c r="DB145" i="1"/>
  <c r="DB149" i="1"/>
  <c r="DB153" i="1"/>
  <c r="DB157" i="1"/>
  <c r="DB161" i="1"/>
  <c r="DB165" i="1"/>
  <c r="DB169" i="1"/>
  <c r="DB173" i="1"/>
  <c r="DB177" i="1"/>
  <c r="DB181" i="1"/>
  <c r="DB124" i="1"/>
  <c r="DB128" i="1"/>
  <c r="DB132" i="1"/>
  <c r="DB136" i="1"/>
  <c r="DB140" i="1"/>
  <c r="DB144" i="1"/>
  <c r="DB148" i="1"/>
  <c r="DB152" i="1"/>
  <c r="DB156" i="1"/>
  <c r="DB160" i="1"/>
  <c r="DB168" i="1"/>
  <c r="DB172" i="1"/>
  <c r="DB176" i="1"/>
  <c r="DB180" i="1"/>
  <c r="DB134" i="1"/>
  <c r="DB146" i="1"/>
  <c r="DB154" i="1"/>
  <c r="DB166" i="1"/>
  <c r="DB182" i="1"/>
  <c r="DB164" i="1"/>
  <c r="DB123" i="1"/>
  <c r="DB127" i="1"/>
  <c r="DB131" i="1"/>
  <c r="DB135" i="1"/>
  <c r="DB139" i="1"/>
  <c r="DB143" i="1"/>
  <c r="DB147" i="1"/>
  <c r="DB151" i="1"/>
  <c r="DB155" i="1"/>
  <c r="DB159" i="1"/>
  <c r="DB163" i="1"/>
  <c r="DB167" i="1"/>
  <c r="DB171" i="1"/>
  <c r="DB175" i="1"/>
  <c r="DB179" i="1"/>
  <c r="DB130" i="1"/>
  <c r="DB138" i="1"/>
  <c r="DB150" i="1"/>
  <c r="DB162" i="1"/>
  <c r="DB170" i="1"/>
  <c r="DB178" i="1"/>
  <c r="CJ61" i="1"/>
  <c r="CJ52" i="1"/>
  <c r="CV83" i="1"/>
  <c r="CJ43" i="1"/>
  <c r="EE22" i="1"/>
  <c r="W75" i="1"/>
  <c r="DG131" i="4" l="1"/>
  <c r="DI131" i="4" s="1"/>
  <c r="DG171" i="4"/>
  <c r="DI171" i="4" s="1"/>
  <c r="DG175" i="4"/>
  <c r="DI175" i="4" s="1"/>
  <c r="DG122" i="4"/>
  <c r="DI122" i="4" s="1"/>
  <c r="DG173" i="4"/>
  <c r="DI173" i="4" s="1"/>
  <c r="DG136" i="4"/>
  <c r="DI136" i="4" s="1"/>
  <c r="DG103" i="4"/>
  <c r="DI103" i="4" s="1"/>
  <c r="DG156" i="4"/>
  <c r="DI156" i="4" s="1"/>
  <c r="DG168" i="4"/>
  <c r="DI168" i="4" s="1"/>
  <c r="DG137" i="4"/>
  <c r="DI137" i="4" s="1"/>
  <c r="DG150" i="4"/>
  <c r="DI150" i="4" s="1"/>
  <c r="DG101" i="4"/>
  <c r="DI101" i="4" s="1"/>
  <c r="DG88" i="4"/>
  <c r="DI88" i="4" s="1"/>
  <c r="DG141" i="4"/>
  <c r="DI141" i="4" s="1"/>
  <c r="DG126" i="4"/>
  <c r="DI126" i="4" s="1"/>
  <c r="DG111" i="4"/>
  <c r="DI111" i="4" s="1"/>
  <c r="DG158" i="4"/>
  <c r="DI158" i="4" s="1"/>
  <c r="DG94" i="4"/>
  <c r="DI94" i="4" s="1"/>
  <c r="DG109" i="4"/>
  <c r="DI109" i="4" s="1"/>
  <c r="DG176" i="4"/>
  <c r="DI176" i="4" s="1"/>
  <c r="DG96" i="4"/>
  <c r="DI96" i="4" s="1"/>
  <c r="DG153" i="4"/>
  <c r="DI153" i="4" s="1"/>
  <c r="DG95" i="4"/>
  <c r="DI95" i="4" s="1"/>
  <c r="DG128" i="4"/>
  <c r="DI128" i="4" s="1"/>
  <c r="DG155" i="4"/>
  <c r="DI155" i="4" s="1"/>
  <c r="DG129" i="4"/>
  <c r="DI129" i="4" s="1"/>
  <c r="DG170" i="4"/>
  <c r="DI170" i="4" s="1"/>
  <c r="DG86" i="4"/>
  <c r="DI86" i="4" s="1"/>
  <c r="DG144" i="4"/>
  <c r="DI144" i="4" s="1"/>
  <c r="DG167" i="4"/>
  <c r="DI167" i="4" s="1"/>
  <c r="DG140" i="4"/>
  <c r="DI140" i="4" s="1"/>
  <c r="DG93" i="4"/>
  <c r="DI93" i="4" s="1"/>
  <c r="DG125" i="4"/>
  <c r="DI125" i="4" s="1"/>
  <c r="DG124" i="4"/>
  <c r="DI124" i="4" s="1"/>
  <c r="DG104" i="4"/>
  <c r="DI104" i="4" s="1"/>
  <c r="DG165" i="4"/>
  <c r="DI165" i="4" s="1"/>
  <c r="DG177" i="4"/>
  <c r="DI177" i="4" s="1"/>
  <c r="DG91" i="4"/>
  <c r="DI91" i="4" s="1"/>
  <c r="DG142" i="4"/>
  <c r="DI142" i="4" s="1"/>
  <c r="DG162" i="4"/>
  <c r="DI162" i="4" s="1"/>
  <c r="DG179" i="4"/>
  <c r="DI179" i="4" s="1"/>
  <c r="DG127" i="4"/>
  <c r="DI127" i="4" s="1"/>
  <c r="DG115" i="4"/>
  <c r="DI115" i="4" s="1"/>
  <c r="DG102" i="4"/>
  <c r="DI102" i="4" s="1"/>
  <c r="DG180" i="4"/>
  <c r="DI180" i="4" s="1"/>
  <c r="DG113" i="4"/>
  <c r="DI113" i="4" s="1"/>
  <c r="DG90" i="4"/>
  <c r="DI90" i="4" s="1"/>
  <c r="DG154" i="4"/>
  <c r="DI154" i="4" s="1"/>
  <c r="DG149" i="4"/>
  <c r="DI149" i="4" s="1"/>
  <c r="DG99" i="4"/>
  <c r="DI99" i="4" s="1"/>
  <c r="DG85" i="4"/>
  <c r="DI85" i="4" s="1"/>
  <c r="DG145" i="4"/>
  <c r="DI145" i="4" s="1"/>
  <c r="DG112" i="4"/>
  <c r="DI112" i="4" s="1"/>
  <c r="DG83" i="4"/>
  <c r="DI83" i="4" s="1"/>
  <c r="DG163" i="4"/>
  <c r="DI163" i="4" s="1"/>
  <c r="DG120" i="4"/>
  <c r="DI120" i="4" s="1"/>
  <c r="DG172" i="4"/>
  <c r="DI172" i="4" s="1"/>
  <c r="DG147" i="4"/>
  <c r="DI147" i="4" s="1"/>
  <c r="DG148" i="4"/>
  <c r="DI148" i="4" s="1"/>
  <c r="DG97" i="4"/>
  <c r="DI97" i="4" s="1"/>
  <c r="DG169" i="4"/>
  <c r="DI169" i="4" s="1"/>
  <c r="DG106" i="4"/>
  <c r="DI106" i="4" s="1"/>
  <c r="DG119" i="4"/>
  <c r="DI119" i="4" s="1"/>
  <c r="DG181" i="4"/>
  <c r="DI181" i="4" s="1"/>
  <c r="DG178" i="4"/>
  <c r="DI178" i="4" s="1"/>
  <c r="DG139" i="4"/>
  <c r="DI139" i="4" s="1"/>
  <c r="DG108" i="4"/>
  <c r="DI108" i="4" s="1"/>
  <c r="DG164" i="4"/>
  <c r="DI164" i="4" s="1"/>
  <c r="DG121" i="4"/>
  <c r="DI121" i="4" s="1"/>
  <c r="DG118" i="4"/>
  <c r="DI118" i="4" s="1"/>
  <c r="DG89" i="4"/>
  <c r="DI89" i="4" s="1"/>
  <c r="DG161" i="4"/>
  <c r="DI161" i="4" s="1"/>
  <c r="DG98" i="4"/>
  <c r="DI98" i="4" s="1"/>
  <c r="DG138" i="4"/>
  <c r="DI138" i="4" s="1"/>
  <c r="DG110" i="4"/>
  <c r="DI110" i="4" s="1"/>
  <c r="DG84" i="4"/>
  <c r="DI84" i="4" s="1"/>
  <c r="DG117" i="4"/>
  <c r="DI117" i="4" s="1"/>
  <c r="DG160" i="4"/>
  <c r="DI160" i="4" s="1"/>
  <c r="DG159" i="4"/>
  <c r="DI159" i="4" s="1"/>
  <c r="DG105" i="4"/>
  <c r="DI105" i="4" s="1"/>
  <c r="DG132" i="4"/>
  <c r="DI132" i="4" s="1"/>
  <c r="DG100" i="4"/>
  <c r="DI100" i="4" s="1"/>
  <c r="DG135" i="4"/>
  <c r="DI135" i="4" s="1"/>
  <c r="DG174" i="4"/>
  <c r="DI174" i="4" s="1"/>
  <c r="DG166" i="4"/>
  <c r="DI166" i="4" s="1"/>
  <c r="DG134" i="4"/>
  <c r="DI134" i="4" s="1"/>
  <c r="DG114" i="4"/>
  <c r="DI114" i="4" s="1"/>
  <c r="DG130" i="4"/>
  <c r="DI130" i="4" s="1"/>
  <c r="DG92" i="4"/>
  <c r="DI92" i="4" s="1"/>
  <c r="DG133" i="4"/>
  <c r="DI133" i="4" s="1"/>
  <c r="DG152" i="4"/>
  <c r="DI152" i="4" s="1"/>
  <c r="DG151" i="4"/>
  <c r="DI151" i="4" s="1"/>
  <c r="DG87" i="4"/>
  <c r="DI87" i="4" s="1"/>
  <c r="DG116" i="4"/>
  <c r="DI116" i="4" s="1"/>
  <c r="DG143" i="4"/>
  <c r="DI143" i="4" s="1"/>
  <c r="DG182" i="4"/>
  <c r="DI182" i="4" s="1"/>
  <c r="DG146" i="4"/>
  <c r="DI146" i="4" s="1"/>
  <c r="DG157" i="4"/>
  <c r="DI157" i="4" s="1"/>
  <c r="DG123" i="4"/>
  <c r="DI123" i="4" s="1"/>
  <c r="DG107" i="4"/>
  <c r="DI107" i="4" s="1"/>
  <c r="W119" i="1"/>
  <c r="FX8" i="1"/>
  <c r="FX9" i="1"/>
  <c r="FW5" i="1"/>
  <c r="FW6" i="1"/>
  <c r="AF76" i="1"/>
  <c r="EC71" i="1"/>
  <c r="EC65" i="1"/>
  <c r="EC67" i="1"/>
  <c r="EC68" i="1"/>
  <c r="EC69" i="1"/>
  <c r="EC66" i="1"/>
  <c r="EC70" i="1"/>
  <c r="EC64" i="1"/>
  <c r="M54" i="1"/>
  <c r="M105" i="1" s="1"/>
  <c r="M53" i="1"/>
  <c r="M104" i="1" s="1"/>
  <c r="DH82" i="4" l="1"/>
  <c r="FW11" i="1"/>
  <c r="FX14" i="1"/>
  <c r="AF120" i="1"/>
  <c r="CJ27" i="1"/>
  <c r="CI84" i="1" s="1"/>
  <c r="ED87" i="1"/>
  <c r="EC63" i="1"/>
  <c r="DM170" i="4" l="1"/>
  <c r="DO170" i="4" s="1"/>
  <c r="DM130" i="4"/>
  <c r="DO130" i="4" s="1"/>
  <c r="DM116" i="4"/>
  <c r="DO116" i="4" s="1"/>
  <c r="DM141" i="4"/>
  <c r="DO141" i="4" s="1"/>
  <c r="DM175" i="4"/>
  <c r="DO175" i="4" s="1"/>
  <c r="DM90" i="4"/>
  <c r="DO90" i="4" s="1"/>
  <c r="DM167" i="4"/>
  <c r="DO167" i="4" s="1"/>
  <c r="DM103" i="4"/>
  <c r="DO103" i="4" s="1"/>
  <c r="DM122" i="4"/>
  <c r="DO122" i="4" s="1"/>
  <c r="DM137" i="4"/>
  <c r="DO137" i="4" s="1"/>
  <c r="DM152" i="4"/>
  <c r="DO152" i="4" s="1"/>
  <c r="DM150" i="4"/>
  <c r="DO150" i="4" s="1"/>
  <c r="DM134" i="4"/>
  <c r="DO134" i="4" s="1"/>
  <c r="DM174" i="4"/>
  <c r="DO174" i="4" s="1"/>
  <c r="DM118" i="4"/>
  <c r="DO118" i="4" s="1"/>
  <c r="DM173" i="4"/>
  <c r="DO173" i="4" s="1"/>
  <c r="DM99" i="4"/>
  <c r="DO99" i="4" s="1"/>
  <c r="DM113" i="4"/>
  <c r="DO113" i="4" s="1"/>
  <c r="DM131" i="4"/>
  <c r="DO131" i="4" s="1"/>
  <c r="DM124" i="4"/>
  <c r="DO124" i="4" s="1"/>
  <c r="DM119" i="4"/>
  <c r="DO119" i="4" s="1"/>
  <c r="DM163" i="4"/>
  <c r="DO163" i="4" s="1"/>
  <c r="DM151" i="4"/>
  <c r="DO151" i="4" s="1"/>
  <c r="DM136" i="4"/>
  <c r="DO136" i="4" s="1"/>
  <c r="DM94" i="4"/>
  <c r="DO94" i="4" s="1"/>
  <c r="DM172" i="4"/>
  <c r="DO172" i="4" s="1"/>
  <c r="DM146" i="4"/>
  <c r="DO146" i="4" s="1"/>
  <c r="DM143" i="4"/>
  <c r="DO143" i="4" s="1"/>
  <c r="DM169" i="4"/>
  <c r="DO169" i="4" s="1"/>
  <c r="DM178" i="4"/>
  <c r="DO178" i="4" s="1"/>
  <c r="DM85" i="4"/>
  <c r="DO85" i="4" s="1"/>
  <c r="DM157" i="4"/>
  <c r="DO157" i="4" s="1"/>
  <c r="DM156" i="4"/>
  <c r="DO156" i="4" s="1"/>
  <c r="DM88" i="4"/>
  <c r="DO88" i="4" s="1"/>
  <c r="DM83" i="4"/>
  <c r="DO83" i="4" s="1"/>
  <c r="DM98" i="4"/>
  <c r="DO98" i="4" s="1"/>
  <c r="DM171" i="4"/>
  <c r="DO171" i="4" s="1"/>
  <c r="DM180" i="4"/>
  <c r="DO180" i="4" s="1"/>
  <c r="DM121" i="4"/>
  <c r="DO121" i="4" s="1"/>
  <c r="DM135" i="4"/>
  <c r="DO135" i="4" s="1"/>
  <c r="DM92" i="4"/>
  <c r="DO92" i="4" s="1"/>
  <c r="DM161" i="4"/>
  <c r="DO161" i="4" s="1"/>
  <c r="DM142" i="4"/>
  <c r="DO142" i="4" s="1"/>
  <c r="DM86" i="4"/>
  <c r="DO86" i="4" s="1"/>
  <c r="DM182" i="4"/>
  <c r="DO182" i="4" s="1"/>
  <c r="DM168" i="4"/>
  <c r="DO168" i="4" s="1"/>
  <c r="DM162" i="4"/>
  <c r="DO162" i="4" s="1"/>
  <c r="DM148" i="4"/>
  <c r="DO148" i="4" s="1"/>
  <c r="DM110" i="4"/>
  <c r="DO110" i="4" s="1"/>
  <c r="DM179" i="4"/>
  <c r="DO179" i="4" s="1"/>
  <c r="DM166" i="4"/>
  <c r="DO166" i="4" s="1"/>
  <c r="DM107" i="4"/>
  <c r="DO107" i="4" s="1"/>
  <c r="DM147" i="4"/>
  <c r="DO147" i="4" s="1"/>
  <c r="DM127" i="4"/>
  <c r="DO127" i="4" s="1"/>
  <c r="DM100" i="4"/>
  <c r="DO100" i="4" s="1"/>
  <c r="DM87" i="4"/>
  <c r="DO87" i="4" s="1"/>
  <c r="DM104" i="4"/>
  <c r="DO104" i="4" s="1"/>
  <c r="DM117" i="4"/>
  <c r="DO117" i="4" s="1"/>
  <c r="DM114" i="4"/>
  <c r="DO114" i="4" s="1"/>
  <c r="DM109" i="4"/>
  <c r="DO109" i="4" s="1"/>
  <c r="DM129" i="4"/>
  <c r="DO129" i="4" s="1"/>
  <c r="DM97" i="4"/>
  <c r="DO97" i="4" s="1"/>
  <c r="DM176" i="4"/>
  <c r="DO176" i="4" s="1"/>
  <c r="DM138" i="4"/>
  <c r="DO138" i="4" s="1"/>
  <c r="DM181" i="4"/>
  <c r="DO181" i="4" s="1"/>
  <c r="DM132" i="4"/>
  <c r="DO132" i="4" s="1"/>
  <c r="DM155" i="4"/>
  <c r="DO155" i="4" s="1"/>
  <c r="DM115" i="4"/>
  <c r="DO115" i="4" s="1"/>
  <c r="W75" i="4"/>
  <c r="DM165" i="4"/>
  <c r="DO165" i="4" s="1"/>
  <c r="DM96" i="4"/>
  <c r="DO96" i="4" s="1"/>
  <c r="DM91" i="4"/>
  <c r="DO91" i="4" s="1"/>
  <c r="DM106" i="4"/>
  <c r="DO106" i="4" s="1"/>
  <c r="DM101" i="4"/>
  <c r="DO101" i="4" s="1"/>
  <c r="DM145" i="4"/>
  <c r="DO145" i="4" s="1"/>
  <c r="DM158" i="4"/>
  <c r="DO158" i="4" s="1"/>
  <c r="DM149" i="4"/>
  <c r="DO149" i="4" s="1"/>
  <c r="DM123" i="4"/>
  <c r="DO123" i="4" s="1"/>
  <c r="DM126" i="4"/>
  <c r="DO126" i="4" s="1"/>
  <c r="DM93" i="4"/>
  <c r="DO93" i="4" s="1"/>
  <c r="DM111" i="4"/>
  <c r="DO111" i="4" s="1"/>
  <c r="DM144" i="4"/>
  <c r="DO144" i="4" s="1"/>
  <c r="DM128" i="4"/>
  <c r="DO128" i="4" s="1"/>
  <c r="DM140" i="4"/>
  <c r="DO140" i="4" s="1"/>
  <c r="DM160" i="4"/>
  <c r="DO160" i="4" s="1"/>
  <c r="DM108" i="4"/>
  <c r="DO108" i="4" s="1"/>
  <c r="DM112" i="4"/>
  <c r="DO112" i="4" s="1"/>
  <c r="DM133" i="4"/>
  <c r="DO133" i="4" s="1"/>
  <c r="DM125" i="4"/>
  <c r="DO125" i="4" s="1"/>
  <c r="DM105" i="4"/>
  <c r="DO105" i="4" s="1"/>
  <c r="DM89" i="4"/>
  <c r="DO89" i="4" s="1"/>
  <c r="DM84" i="4"/>
  <c r="DO84" i="4" s="1"/>
  <c r="DM139" i="4"/>
  <c r="DO139" i="4" s="1"/>
  <c r="DM177" i="4"/>
  <c r="DO177" i="4" s="1"/>
  <c r="DM159" i="4"/>
  <c r="DO159" i="4" s="1"/>
  <c r="DM154" i="4"/>
  <c r="DO154" i="4" s="1"/>
  <c r="DM102" i="4"/>
  <c r="DO102" i="4" s="1"/>
  <c r="DM153" i="4"/>
  <c r="DO153" i="4" s="1"/>
  <c r="DM95" i="4"/>
  <c r="DO95" i="4" s="1"/>
  <c r="DM120" i="4"/>
  <c r="DO120" i="4" s="1"/>
  <c r="DM164" i="4"/>
  <c r="DO164" i="4" s="1"/>
  <c r="CI86" i="1"/>
  <c r="CK86" i="1" s="1"/>
  <c r="CI90" i="1"/>
  <c r="CK90" i="1" s="1"/>
  <c r="CI94" i="1"/>
  <c r="CK94" i="1" s="1"/>
  <c r="CI98" i="1"/>
  <c r="CK98" i="1" s="1"/>
  <c r="CI102" i="1"/>
  <c r="CK102" i="1" s="1"/>
  <c r="CI106" i="1"/>
  <c r="CK106" i="1" s="1"/>
  <c r="CI110" i="1"/>
  <c r="CK110" i="1" s="1"/>
  <c r="CI114" i="1"/>
  <c r="CK114" i="1" s="1"/>
  <c r="CI118" i="1"/>
  <c r="CK118" i="1" s="1"/>
  <c r="CI122" i="1"/>
  <c r="CK122" i="1" s="1"/>
  <c r="CI126" i="1"/>
  <c r="CK126" i="1" s="1"/>
  <c r="CI130" i="1"/>
  <c r="CK130" i="1" s="1"/>
  <c r="CI134" i="1"/>
  <c r="CK134" i="1" s="1"/>
  <c r="CI138" i="1"/>
  <c r="CK138" i="1" s="1"/>
  <c r="CI142" i="1"/>
  <c r="CK142" i="1" s="1"/>
  <c r="CI146" i="1"/>
  <c r="CK146" i="1" s="1"/>
  <c r="CI150" i="1"/>
  <c r="CK150" i="1" s="1"/>
  <c r="CI154" i="1"/>
  <c r="CK154" i="1" s="1"/>
  <c r="CI158" i="1"/>
  <c r="CK158" i="1" s="1"/>
  <c r="CI162" i="1"/>
  <c r="CK162" i="1" s="1"/>
  <c r="CI166" i="1"/>
  <c r="CK166" i="1" s="1"/>
  <c r="CI174" i="1"/>
  <c r="CK174" i="1" s="1"/>
  <c r="CI182" i="1"/>
  <c r="CK182" i="1" s="1"/>
  <c r="CI87" i="1"/>
  <c r="CK87" i="1" s="1"/>
  <c r="CI91" i="1"/>
  <c r="CK91" i="1" s="1"/>
  <c r="CI95" i="1"/>
  <c r="CK95" i="1" s="1"/>
  <c r="CI99" i="1"/>
  <c r="CK99" i="1" s="1"/>
  <c r="CI103" i="1"/>
  <c r="CK103" i="1" s="1"/>
  <c r="CI107" i="1"/>
  <c r="CK107" i="1" s="1"/>
  <c r="CI111" i="1"/>
  <c r="CK111" i="1" s="1"/>
  <c r="CI115" i="1"/>
  <c r="CK115" i="1" s="1"/>
  <c r="CI119" i="1"/>
  <c r="CK119" i="1" s="1"/>
  <c r="CI123" i="1"/>
  <c r="CK123" i="1" s="1"/>
  <c r="CI127" i="1"/>
  <c r="CK127" i="1" s="1"/>
  <c r="CI131" i="1"/>
  <c r="CK131" i="1" s="1"/>
  <c r="CI135" i="1"/>
  <c r="CK135" i="1" s="1"/>
  <c r="CI139" i="1"/>
  <c r="CK139" i="1" s="1"/>
  <c r="CI143" i="1"/>
  <c r="CK143" i="1" s="1"/>
  <c r="CI147" i="1"/>
  <c r="CK147" i="1" s="1"/>
  <c r="CI151" i="1"/>
  <c r="CK151" i="1" s="1"/>
  <c r="CI155" i="1"/>
  <c r="CK155" i="1" s="1"/>
  <c r="CI159" i="1"/>
  <c r="CK159" i="1" s="1"/>
  <c r="CI163" i="1"/>
  <c r="CK163" i="1" s="1"/>
  <c r="CI167" i="1"/>
  <c r="CK167" i="1" s="1"/>
  <c r="CI171" i="1"/>
  <c r="CK171" i="1" s="1"/>
  <c r="CI175" i="1"/>
  <c r="CK175" i="1" s="1"/>
  <c r="CI179" i="1"/>
  <c r="CK179" i="1" s="1"/>
  <c r="CI172" i="1"/>
  <c r="CK172" i="1" s="1"/>
  <c r="CI176" i="1"/>
  <c r="CK176" i="1" s="1"/>
  <c r="CI88" i="1"/>
  <c r="CK88" i="1" s="1"/>
  <c r="CI92" i="1"/>
  <c r="CK92" i="1" s="1"/>
  <c r="CI96" i="1"/>
  <c r="CK96" i="1" s="1"/>
  <c r="CI100" i="1"/>
  <c r="CK100" i="1" s="1"/>
  <c r="CI104" i="1"/>
  <c r="CK104" i="1" s="1"/>
  <c r="CI108" i="1"/>
  <c r="CK108" i="1" s="1"/>
  <c r="CI112" i="1"/>
  <c r="CK112" i="1" s="1"/>
  <c r="CI116" i="1"/>
  <c r="CK116" i="1" s="1"/>
  <c r="CI120" i="1"/>
  <c r="CK120" i="1" s="1"/>
  <c r="CI124" i="1"/>
  <c r="CK124" i="1" s="1"/>
  <c r="CI128" i="1"/>
  <c r="CK128" i="1" s="1"/>
  <c r="CI132" i="1"/>
  <c r="CK132" i="1" s="1"/>
  <c r="CI136" i="1"/>
  <c r="CK136" i="1" s="1"/>
  <c r="CI140" i="1"/>
  <c r="CK140" i="1" s="1"/>
  <c r="CI144" i="1"/>
  <c r="CK144" i="1" s="1"/>
  <c r="CI148" i="1"/>
  <c r="CK148" i="1" s="1"/>
  <c r="CI152" i="1"/>
  <c r="CK152" i="1" s="1"/>
  <c r="CI156" i="1"/>
  <c r="CK156" i="1" s="1"/>
  <c r="CI160" i="1"/>
  <c r="CK160" i="1" s="1"/>
  <c r="CI164" i="1"/>
  <c r="CK164" i="1" s="1"/>
  <c r="CI168" i="1"/>
  <c r="CK168" i="1" s="1"/>
  <c r="CI180" i="1"/>
  <c r="CK180" i="1" s="1"/>
  <c r="CI85" i="1"/>
  <c r="CK85" i="1" s="1"/>
  <c r="CI89" i="1"/>
  <c r="CK89" i="1" s="1"/>
  <c r="CI93" i="1"/>
  <c r="CK93" i="1" s="1"/>
  <c r="CI97" i="1"/>
  <c r="CK97" i="1" s="1"/>
  <c r="CI101" i="1"/>
  <c r="CK101" i="1" s="1"/>
  <c r="CI105" i="1"/>
  <c r="CK105" i="1" s="1"/>
  <c r="CI109" i="1"/>
  <c r="CK109" i="1" s="1"/>
  <c r="CI113" i="1"/>
  <c r="CK113" i="1" s="1"/>
  <c r="CI117" i="1"/>
  <c r="CK117" i="1" s="1"/>
  <c r="CI121" i="1"/>
  <c r="CK121" i="1" s="1"/>
  <c r="CI125" i="1"/>
  <c r="CK125" i="1" s="1"/>
  <c r="CI129" i="1"/>
  <c r="CK129" i="1" s="1"/>
  <c r="CI133" i="1"/>
  <c r="CK133" i="1" s="1"/>
  <c r="CI137" i="1"/>
  <c r="CK137" i="1" s="1"/>
  <c r="CI141" i="1"/>
  <c r="CK141" i="1" s="1"/>
  <c r="CI145" i="1"/>
  <c r="CK145" i="1" s="1"/>
  <c r="CI149" i="1"/>
  <c r="CK149" i="1" s="1"/>
  <c r="CI153" i="1"/>
  <c r="CK153" i="1" s="1"/>
  <c r="CI157" i="1"/>
  <c r="CK157" i="1" s="1"/>
  <c r="CI161" i="1"/>
  <c r="CK161" i="1" s="1"/>
  <c r="CI165" i="1"/>
  <c r="CK165" i="1" s="1"/>
  <c r="CI169" i="1"/>
  <c r="CK169" i="1" s="1"/>
  <c r="CI173" i="1"/>
  <c r="CK173" i="1" s="1"/>
  <c r="CI177" i="1"/>
  <c r="CK177" i="1" s="1"/>
  <c r="CI181" i="1"/>
  <c r="CK181" i="1" s="1"/>
  <c r="CI170" i="1"/>
  <c r="CK170" i="1" s="1"/>
  <c r="CI178" i="1"/>
  <c r="CK178" i="1" s="1"/>
  <c r="CI83" i="1"/>
  <c r="CK83" i="1" s="1"/>
  <c r="CK84" i="1"/>
  <c r="CJ33" i="1"/>
  <c r="EC88" i="1"/>
  <c r="ED88" i="1"/>
  <c r="DN82" i="4" l="1"/>
  <c r="W76" i="4" s="1"/>
  <c r="CI35" i="1"/>
  <c r="CJ82" i="1"/>
  <c r="W122" i="1" s="1"/>
  <c r="CJ42" i="1"/>
  <c r="CI44" i="1" s="1"/>
  <c r="CJ51" i="1" l="1"/>
  <c r="CO94" i="1"/>
  <c r="CQ94" i="1" s="1"/>
  <c r="CO110" i="1"/>
  <c r="CQ110" i="1" s="1"/>
  <c r="CO126" i="1"/>
  <c r="CQ126" i="1" s="1"/>
  <c r="CO142" i="1"/>
  <c r="CQ142" i="1" s="1"/>
  <c r="CO158" i="1"/>
  <c r="CQ158" i="1" s="1"/>
  <c r="CO174" i="1"/>
  <c r="CQ174" i="1" s="1"/>
  <c r="CO89" i="1"/>
  <c r="CQ89" i="1" s="1"/>
  <c r="CO105" i="1"/>
  <c r="CQ105" i="1" s="1"/>
  <c r="CO121" i="1"/>
  <c r="CQ121" i="1" s="1"/>
  <c r="CO141" i="1"/>
  <c r="CQ141" i="1" s="1"/>
  <c r="CO157" i="1"/>
  <c r="CQ157" i="1" s="1"/>
  <c r="CO173" i="1"/>
  <c r="CQ173" i="1" s="1"/>
  <c r="CO84" i="1"/>
  <c r="CQ84" i="1" s="1"/>
  <c r="CO100" i="1"/>
  <c r="CQ100" i="1" s="1"/>
  <c r="CO116" i="1"/>
  <c r="CQ116" i="1" s="1"/>
  <c r="CO132" i="1"/>
  <c r="CQ132" i="1" s="1"/>
  <c r="CO148" i="1"/>
  <c r="CQ148" i="1" s="1"/>
  <c r="CO164" i="1"/>
  <c r="CQ164" i="1" s="1"/>
  <c r="CO180" i="1"/>
  <c r="CQ180" i="1" s="1"/>
  <c r="CO99" i="1"/>
  <c r="CQ99" i="1" s="1"/>
  <c r="CO115" i="1"/>
  <c r="CQ115" i="1" s="1"/>
  <c r="CO135" i="1"/>
  <c r="CQ135" i="1" s="1"/>
  <c r="CO151" i="1"/>
  <c r="CQ151" i="1" s="1"/>
  <c r="CO167" i="1"/>
  <c r="CQ167" i="1" s="1"/>
  <c r="CO90" i="1"/>
  <c r="CQ90" i="1" s="1"/>
  <c r="CO106" i="1"/>
  <c r="CQ106" i="1" s="1"/>
  <c r="CO122" i="1"/>
  <c r="CQ122" i="1" s="1"/>
  <c r="CO138" i="1"/>
  <c r="CQ138" i="1" s="1"/>
  <c r="CO154" i="1"/>
  <c r="CQ154" i="1" s="1"/>
  <c r="CO170" i="1"/>
  <c r="CQ170" i="1" s="1"/>
  <c r="CO85" i="1"/>
  <c r="CQ85" i="1" s="1"/>
  <c r="CO101" i="1"/>
  <c r="CQ101" i="1" s="1"/>
  <c r="CO117" i="1"/>
  <c r="CQ117" i="1" s="1"/>
  <c r="CO137" i="1"/>
  <c r="CQ137" i="1" s="1"/>
  <c r="CO153" i="1"/>
  <c r="CQ153" i="1" s="1"/>
  <c r="CO169" i="1"/>
  <c r="CQ169" i="1" s="1"/>
  <c r="CO125" i="1"/>
  <c r="CQ125" i="1" s="1"/>
  <c r="CO96" i="1"/>
  <c r="CQ96" i="1" s="1"/>
  <c r="CO112" i="1"/>
  <c r="CQ112" i="1" s="1"/>
  <c r="CO128" i="1"/>
  <c r="CQ128" i="1" s="1"/>
  <c r="CO144" i="1"/>
  <c r="CQ144" i="1" s="1"/>
  <c r="CO160" i="1"/>
  <c r="CQ160" i="1" s="1"/>
  <c r="CO176" i="1"/>
  <c r="CQ176" i="1" s="1"/>
  <c r="CO95" i="1"/>
  <c r="CQ95" i="1" s="1"/>
  <c r="CO111" i="1"/>
  <c r="CQ111" i="1" s="1"/>
  <c r="CO127" i="1"/>
  <c r="CQ127" i="1" s="1"/>
  <c r="CO147" i="1"/>
  <c r="CQ147" i="1" s="1"/>
  <c r="CO163" i="1"/>
  <c r="CQ163" i="1" s="1"/>
  <c r="CO179" i="1"/>
  <c r="CQ179" i="1" s="1"/>
  <c r="CO86" i="1"/>
  <c r="CQ86" i="1" s="1"/>
  <c r="CO102" i="1"/>
  <c r="CQ102" i="1" s="1"/>
  <c r="CO118" i="1"/>
  <c r="CQ118" i="1" s="1"/>
  <c r="CO134" i="1"/>
  <c r="CQ134" i="1" s="1"/>
  <c r="CO150" i="1"/>
  <c r="CQ150" i="1" s="1"/>
  <c r="CO166" i="1"/>
  <c r="CQ166" i="1" s="1"/>
  <c r="CO182" i="1"/>
  <c r="CQ182" i="1" s="1"/>
  <c r="CO97" i="1"/>
  <c r="CQ97" i="1" s="1"/>
  <c r="CO113" i="1"/>
  <c r="CQ113" i="1" s="1"/>
  <c r="CO133" i="1"/>
  <c r="CQ133" i="1" s="1"/>
  <c r="CO149" i="1"/>
  <c r="CQ149" i="1" s="1"/>
  <c r="CO165" i="1"/>
  <c r="CQ165" i="1" s="1"/>
  <c r="CO181" i="1"/>
  <c r="CQ181" i="1" s="1"/>
  <c r="CO92" i="1"/>
  <c r="CQ92" i="1" s="1"/>
  <c r="CO108" i="1"/>
  <c r="CQ108" i="1" s="1"/>
  <c r="CO124" i="1"/>
  <c r="CQ124" i="1" s="1"/>
  <c r="CO140" i="1"/>
  <c r="CQ140" i="1" s="1"/>
  <c r="CO156" i="1"/>
  <c r="CQ156" i="1" s="1"/>
  <c r="CO172" i="1"/>
  <c r="CQ172" i="1" s="1"/>
  <c r="CO91" i="1"/>
  <c r="CQ91" i="1" s="1"/>
  <c r="CO107" i="1"/>
  <c r="CQ107" i="1" s="1"/>
  <c r="CO123" i="1"/>
  <c r="CQ123" i="1" s="1"/>
  <c r="CO143" i="1"/>
  <c r="CQ143" i="1" s="1"/>
  <c r="CO159" i="1"/>
  <c r="CQ159" i="1" s="1"/>
  <c r="CO175" i="1"/>
  <c r="CQ175" i="1" s="1"/>
  <c r="CO131" i="1"/>
  <c r="CQ131" i="1" s="1"/>
  <c r="CO98" i="1"/>
  <c r="CQ98" i="1" s="1"/>
  <c r="CO114" i="1"/>
  <c r="CQ114" i="1" s="1"/>
  <c r="CO130" i="1"/>
  <c r="CQ130" i="1" s="1"/>
  <c r="CO146" i="1"/>
  <c r="CQ146" i="1" s="1"/>
  <c r="CO162" i="1"/>
  <c r="CQ162" i="1" s="1"/>
  <c r="CO178" i="1"/>
  <c r="CQ178" i="1" s="1"/>
  <c r="CO93" i="1"/>
  <c r="CQ93" i="1" s="1"/>
  <c r="CO109" i="1"/>
  <c r="CQ109" i="1" s="1"/>
  <c r="CO129" i="1"/>
  <c r="CQ129" i="1" s="1"/>
  <c r="CO145" i="1"/>
  <c r="CQ145" i="1" s="1"/>
  <c r="CO161" i="1"/>
  <c r="CQ161" i="1" s="1"/>
  <c r="CO177" i="1"/>
  <c r="CQ177" i="1" s="1"/>
  <c r="CO88" i="1"/>
  <c r="CQ88" i="1" s="1"/>
  <c r="CO104" i="1"/>
  <c r="CQ104" i="1" s="1"/>
  <c r="CO120" i="1"/>
  <c r="CQ120" i="1" s="1"/>
  <c r="CO136" i="1"/>
  <c r="CQ136" i="1" s="1"/>
  <c r="CO152" i="1"/>
  <c r="CQ152" i="1" s="1"/>
  <c r="CO168" i="1"/>
  <c r="CQ168" i="1" s="1"/>
  <c r="CO87" i="1"/>
  <c r="CQ87" i="1" s="1"/>
  <c r="CO103" i="1"/>
  <c r="CQ103" i="1" s="1"/>
  <c r="CO119" i="1"/>
  <c r="CQ119" i="1" s="1"/>
  <c r="CO139" i="1"/>
  <c r="CQ139" i="1" s="1"/>
  <c r="CO155" i="1"/>
  <c r="CQ155" i="1" s="1"/>
  <c r="CO171" i="1"/>
  <c r="CQ171" i="1" s="1"/>
  <c r="CO83" i="1"/>
  <c r="CQ83" i="1" s="1"/>
  <c r="CP82" i="1" l="1"/>
  <c r="W123" i="1" s="1"/>
  <c r="CI53" i="1"/>
  <c r="CJ60" i="1"/>
  <c r="CI62" i="1" l="1"/>
  <c r="CJ69" i="1"/>
  <c r="CU83" i="1"/>
  <c r="CW83" i="1" s="1"/>
  <c r="CU94" i="1"/>
  <c r="CW94" i="1" s="1"/>
  <c r="CU118" i="1"/>
  <c r="CW118" i="1" s="1"/>
  <c r="CU150" i="1"/>
  <c r="CW150" i="1" s="1"/>
  <c r="CU89" i="1"/>
  <c r="CW89" i="1" s="1"/>
  <c r="CU105" i="1"/>
  <c r="CW105" i="1" s="1"/>
  <c r="CU121" i="1"/>
  <c r="CW121" i="1" s="1"/>
  <c r="CU137" i="1"/>
  <c r="CW137" i="1" s="1"/>
  <c r="CU153" i="1"/>
  <c r="CW153" i="1" s="1"/>
  <c r="CU169" i="1"/>
  <c r="CW169" i="1" s="1"/>
  <c r="CU91" i="1"/>
  <c r="CW91" i="1" s="1"/>
  <c r="CU119" i="1"/>
  <c r="CW119" i="1" s="1"/>
  <c r="CU159" i="1"/>
  <c r="CW159" i="1" s="1"/>
  <c r="CU110" i="1"/>
  <c r="CW110" i="1" s="1"/>
  <c r="CU170" i="1"/>
  <c r="CW170" i="1" s="1"/>
  <c r="CU92" i="1"/>
  <c r="CW92" i="1" s="1"/>
  <c r="CU108" i="1"/>
  <c r="CW108" i="1" s="1"/>
  <c r="CU124" i="1"/>
  <c r="CW124" i="1" s="1"/>
  <c r="CU140" i="1"/>
  <c r="CW140" i="1" s="1"/>
  <c r="CU156" i="1"/>
  <c r="CW156" i="1" s="1"/>
  <c r="CU172" i="1"/>
  <c r="CW172" i="1" s="1"/>
  <c r="CU99" i="1"/>
  <c r="CW99" i="1" s="1"/>
  <c r="CU131" i="1"/>
  <c r="CW131" i="1" s="1"/>
  <c r="CU163" i="1"/>
  <c r="CW163" i="1" s="1"/>
  <c r="CU146" i="1"/>
  <c r="CW146" i="1" s="1"/>
  <c r="CU90" i="1"/>
  <c r="CW90" i="1" s="1"/>
  <c r="CU106" i="1"/>
  <c r="CW106" i="1" s="1"/>
  <c r="CU138" i="1"/>
  <c r="CW138" i="1" s="1"/>
  <c r="CU85" i="1"/>
  <c r="CW85" i="1" s="1"/>
  <c r="CU101" i="1"/>
  <c r="CW101" i="1" s="1"/>
  <c r="CU117" i="1"/>
  <c r="CW117" i="1" s="1"/>
  <c r="CU133" i="1"/>
  <c r="CW133" i="1" s="1"/>
  <c r="CU149" i="1"/>
  <c r="CW149" i="1" s="1"/>
  <c r="CU165" i="1"/>
  <c r="CW165" i="1" s="1"/>
  <c r="CU181" i="1"/>
  <c r="CW181" i="1" s="1"/>
  <c r="CU111" i="1"/>
  <c r="CW111" i="1" s="1"/>
  <c r="CU151" i="1"/>
  <c r="CW151" i="1" s="1"/>
  <c r="CU179" i="1"/>
  <c r="CW179" i="1" s="1"/>
  <c r="CU158" i="1"/>
  <c r="CW158" i="1" s="1"/>
  <c r="CU88" i="1"/>
  <c r="CW88" i="1" s="1"/>
  <c r="CU104" i="1"/>
  <c r="CW104" i="1" s="1"/>
  <c r="CU120" i="1"/>
  <c r="CW120" i="1" s="1"/>
  <c r="CU136" i="1"/>
  <c r="CW136" i="1" s="1"/>
  <c r="CU152" i="1"/>
  <c r="CW152" i="1" s="1"/>
  <c r="CU168" i="1"/>
  <c r="CW168" i="1" s="1"/>
  <c r="CU87" i="1"/>
  <c r="CU123" i="1"/>
  <c r="CU155" i="1"/>
  <c r="CW155" i="1" s="1"/>
  <c r="CU134" i="1"/>
  <c r="CW134" i="1" s="1"/>
  <c r="CU182" i="1"/>
  <c r="CW182" i="1" s="1"/>
  <c r="CU86" i="1"/>
  <c r="CW86" i="1" s="1"/>
  <c r="CU102" i="1"/>
  <c r="CW102" i="1" s="1"/>
  <c r="CU126" i="1"/>
  <c r="CW126" i="1" s="1"/>
  <c r="CU174" i="1"/>
  <c r="CW174" i="1" s="1"/>
  <c r="CU97" i="1"/>
  <c r="CW97" i="1" s="1"/>
  <c r="CU113" i="1"/>
  <c r="CW113" i="1" s="1"/>
  <c r="CU129" i="1"/>
  <c r="CW129" i="1" s="1"/>
  <c r="CU145" i="1"/>
  <c r="CW145" i="1" s="1"/>
  <c r="CU161" i="1"/>
  <c r="CW161" i="1" s="1"/>
  <c r="CU177" i="1"/>
  <c r="CW177" i="1" s="1"/>
  <c r="CU103" i="1"/>
  <c r="CW103" i="1" s="1"/>
  <c r="CU139" i="1"/>
  <c r="CW139" i="1" s="1"/>
  <c r="CU171" i="1"/>
  <c r="CW171" i="1" s="1"/>
  <c r="CU142" i="1"/>
  <c r="CW142" i="1" s="1"/>
  <c r="CU84" i="1"/>
  <c r="CW84" i="1" s="1"/>
  <c r="CU100" i="1"/>
  <c r="CW100" i="1" s="1"/>
  <c r="CU116" i="1"/>
  <c r="CW116" i="1" s="1"/>
  <c r="CU132" i="1"/>
  <c r="CW132" i="1" s="1"/>
  <c r="CU148" i="1"/>
  <c r="CW148" i="1" s="1"/>
  <c r="CU164" i="1"/>
  <c r="CW164" i="1" s="1"/>
  <c r="CU180" i="1"/>
  <c r="CW180" i="1" s="1"/>
  <c r="CU115" i="1"/>
  <c r="CW115" i="1" s="1"/>
  <c r="CU147" i="1"/>
  <c r="CW147" i="1" s="1"/>
  <c r="CU114" i="1"/>
  <c r="CW114" i="1" s="1"/>
  <c r="CU166" i="1"/>
  <c r="CW166" i="1" s="1"/>
  <c r="CU135" i="1"/>
  <c r="CW135" i="1" s="1"/>
  <c r="CU98" i="1"/>
  <c r="CW98" i="1" s="1"/>
  <c r="CU122" i="1"/>
  <c r="CW122" i="1" s="1"/>
  <c r="CU162" i="1"/>
  <c r="CW162" i="1" s="1"/>
  <c r="CU93" i="1"/>
  <c r="CW93" i="1" s="1"/>
  <c r="CU109" i="1"/>
  <c r="CU125" i="1"/>
  <c r="CW125" i="1" s="1"/>
  <c r="CU141" i="1"/>
  <c r="CW141" i="1" s="1"/>
  <c r="CU157" i="1"/>
  <c r="CW157" i="1" s="1"/>
  <c r="CU173" i="1"/>
  <c r="CW173" i="1" s="1"/>
  <c r="CU95" i="1"/>
  <c r="CW95" i="1" s="1"/>
  <c r="CU127" i="1"/>
  <c r="CW127" i="1" s="1"/>
  <c r="CU167" i="1"/>
  <c r="CW167" i="1" s="1"/>
  <c r="CU130" i="1"/>
  <c r="CW130" i="1" s="1"/>
  <c r="CU178" i="1"/>
  <c r="CW178" i="1" s="1"/>
  <c r="CU96" i="1"/>
  <c r="CW96" i="1" s="1"/>
  <c r="CU112" i="1"/>
  <c r="CW112" i="1" s="1"/>
  <c r="CU128" i="1"/>
  <c r="CW128" i="1" s="1"/>
  <c r="CU144" i="1"/>
  <c r="CW144" i="1" s="1"/>
  <c r="CU160" i="1"/>
  <c r="CW160" i="1" s="1"/>
  <c r="CU176" i="1"/>
  <c r="CW176" i="1" s="1"/>
  <c r="CU107" i="1"/>
  <c r="CW107" i="1" s="1"/>
  <c r="CU143" i="1"/>
  <c r="CW143" i="1" s="1"/>
  <c r="CU175" i="1"/>
  <c r="CW175" i="1" s="1"/>
  <c r="CU154" i="1"/>
  <c r="CW154" i="1" s="1"/>
  <c r="CW109" i="1"/>
  <c r="CW87" i="1"/>
  <c r="CW123" i="1"/>
  <c r="CV82" i="1" l="1"/>
  <c r="W124" i="1" s="1"/>
  <c r="CI71" i="1"/>
  <c r="CJ78" i="1"/>
  <c r="CI80" i="1" s="1"/>
  <c r="DA83" i="1" l="1"/>
  <c r="DC83" i="1" s="1"/>
  <c r="DA147" i="1"/>
  <c r="DC147" i="1" s="1"/>
  <c r="DA114" i="1"/>
  <c r="DC114" i="1" s="1"/>
  <c r="DA178" i="1"/>
  <c r="DC178" i="1" s="1"/>
  <c r="DA141" i="1"/>
  <c r="DC141" i="1" s="1"/>
  <c r="DA104" i="1"/>
  <c r="DC104" i="1" s="1"/>
  <c r="DA168" i="1"/>
  <c r="DC168" i="1" s="1"/>
  <c r="DA143" i="1"/>
  <c r="DC143" i="1" s="1"/>
  <c r="DA110" i="1"/>
  <c r="DC110" i="1" s="1"/>
  <c r="DA174" i="1"/>
  <c r="DC174" i="1" s="1"/>
  <c r="DA137" i="1"/>
  <c r="DC137" i="1" s="1"/>
  <c r="DA100" i="1"/>
  <c r="DC100" i="1" s="1"/>
  <c r="DA164" i="1"/>
  <c r="DC164" i="1" s="1"/>
  <c r="DA123" i="1"/>
  <c r="DC123" i="1" s="1"/>
  <c r="DA90" i="1"/>
  <c r="DC90" i="1" s="1"/>
  <c r="DA154" i="1"/>
  <c r="DC154" i="1" s="1"/>
  <c r="DA117" i="1"/>
  <c r="DC117" i="1" s="1"/>
  <c r="DA181" i="1"/>
  <c r="DC181" i="1" s="1"/>
  <c r="DA144" i="1"/>
  <c r="DC144" i="1" s="1"/>
  <c r="DA103" i="1"/>
  <c r="DC103" i="1" s="1"/>
  <c r="DA167" i="1"/>
  <c r="DC167" i="1" s="1"/>
  <c r="DA134" i="1"/>
  <c r="DC134" i="1" s="1"/>
  <c r="DA97" i="1"/>
  <c r="DC97" i="1" s="1"/>
  <c r="DA161" i="1"/>
  <c r="DC161" i="1" s="1"/>
  <c r="DA124" i="1"/>
  <c r="DC124" i="1" s="1"/>
  <c r="DA131" i="1"/>
  <c r="DC131" i="1" s="1"/>
  <c r="DA98" i="1"/>
  <c r="DC98" i="1" s="1"/>
  <c r="DA162" i="1"/>
  <c r="DC162" i="1" s="1"/>
  <c r="DA125" i="1"/>
  <c r="DC125" i="1" s="1"/>
  <c r="DA88" i="1"/>
  <c r="DC88" i="1" s="1"/>
  <c r="DA152" i="1"/>
  <c r="DC152" i="1" s="1"/>
  <c r="DA127" i="1"/>
  <c r="DC127" i="1" s="1"/>
  <c r="DA94" i="1"/>
  <c r="DC94" i="1" s="1"/>
  <c r="DA158" i="1"/>
  <c r="DC158" i="1" s="1"/>
  <c r="DA121" i="1"/>
  <c r="DC121" i="1" s="1"/>
  <c r="DA84" i="1"/>
  <c r="DC84" i="1" s="1"/>
  <c r="DA148" i="1"/>
  <c r="DC148" i="1" s="1"/>
  <c r="DA107" i="1"/>
  <c r="DC107" i="1" s="1"/>
  <c r="DA171" i="1"/>
  <c r="DC171" i="1" s="1"/>
  <c r="DA138" i="1"/>
  <c r="DC138" i="1" s="1"/>
  <c r="DA101" i="1"/>
  <c r="DC101" i="1" s="1"/>
  <c r="DA165" i="1"/>
  <c r="DC165" i="1" s="1"/>
  <c r="DA128" i="1"/>
  <c r="DC128" i="1" s="1"/>
  <c r="DA87" i="1"/>
  <c r="DC87" i="1" s="1"/>
  <c r="DA151" i="1"/>
  <c r="DC151" i="1" s="1"/>
  <c r="DA118" i="1"/>
  <c r="DC118" i="1" s="1"/>
  <c r="DA182" i="1"/>
  <c r="DC182" i="1" s="1"/>
  <c r="DA145" i="1"/>
  <c r="DC145" i="1" s="1"/>
  <c r="DA108" i="1"/>
  <c r="DC108" i="1" s="1"/>
  <c r="DA172" i="1"/>
  <c r="DC172" i="1" s="1"/>
  <c r="DA115" i="1"/>
  <c r="DC115" i="1" s="1"/>
  <c r="DA179" i="1"/>
  <c r="DC179" i="1" s="1"/>
  <c r="DA146" i="1"/>
  <c r="DC146" i="1" s="1"/>
  <c r="DA109" i="1"/>
  <c r="DC109" i="1" s="1"/>
  <c r="DA173" i="1"/>
  <c r="DC173" i="1" s="1"/>
  <c r="DA136" i="1"/>
  <c r="DC136" i="1" s="1"/>
  <c r="DA111" i="1"/>
  <c r="DC111" i="1" s="1"/>
  <c r="DA175" i="1"/>
  <c r="DC175" i="1" s="1"/>
  <c r="DA142" i="1"/>
  <c r="DC142" i="1" s="1"/>
  <c r="DA105" i="1"/>
  <c r="DC105" i="1" s="1"/>
  <c r="DA169" i="1"/>
  <c r="DC169" i="1" s="1"/>
  <c r="DA132" i="1"/>
  <c r="DC132" i="1" s="1"/>
  <c r="DA91" i="1"/>
  <c r="DC91" i="1" s="1"/>
  <c r="DA155" i="1"/>
  <c r="DC155" i="1" s="1"/>
  <c r="DA122" i="1"/>
  <c r="DC122" i="1" s="1"/>
  <c r="DA85" i="1"/>
  <c r="DC85" i="1" s="1"/>
  <c r="DA149" i="1"/>
  <c r="DC149" i="1" s="1"/>
  <c r="DA112" i="1"/>
  <c r="DC112" i="1" s="1"/>
  <c r="DA176" i="1"/>
  <c r="DC176" i="1" s="1"/>
  <c r="DA135" i="1"/>
  <c r="DC135" i="1" s="1"/>
  <c r="DA102" i="1"/>
  <c r="DC102" i="1" s="1"/>
  <c r="DA166" i="1"/>
  <c r="DC166" i="1" s="1"/>
  <c r="DA129" i="1"/>
  <c r="DC129" i="1" s="1"/>
  <c r="DA92" i="1"/>
  <c r="DC92" i="1" s="1"/>
  <c r="DA156" i="1"/>
  <c r="DC156" i="1" s="1"/>
  <c r="DA99" i="1"/>
  <c r="DC99" i="1" s="1"/>
  <c r="DA163" i="1"/>
  <c r="DC163" i="1" s="1"/>
  <c r="DA130" i="1"/>
  <c r="DC130" i="1" s="1"/>
  <c r="DA93" i="1"/>
  <c r="DC93" i="1" s="1"/>
  <c r="DA157" i="1"/>
  <c r="DC157" i="1" s="1"/>
  <c r="DA120" i="1"/>
  <c r="DC120" i="1" s="1"/>
  <c r="DA95" i="1"/>
  <c r="DC95" i="1" s="1"/>
  <c r="DA159" i="1"/>
  <c r="DC159" i="1" s="1"/>
  <c r="DA126" i="1"/>
  <c r="DC126" i="1" s="1"/>
  <c r="DA89" i="1"/>
  <c r="DC89" i="1" s="1"/>
  <c r="DA153" i="1"/>
  <c r="DC153" i="1" s="1"/>
  <c r="DA116" i="1"/>
  <c r="DC116" i="1" s="1"/>
  <c r="DA180" i="1"/>
  <c r="DC180" i="1" s="1"/>
  <c r="DA139" i="1"/>
  <c r="DC139" i="1" s="1"/>
  <c r="DA106" i="1"/>
  <c r="DC106" i="1" s="1"/>
  <c r="DA170" i="1"/>
  <c r="DC170" i="1" s="1"/>
  <c r="DA133" i="1"/>
  <c r="DC133" i="1" s="1"/>
  <c r="DA96" i="1"/>
  <c r="DC96" i="1" s="1"/>
  <c r="DA160" i="1"/>
  <c r="DC160" i="1" s="1"/>
  <c r="DA119" i="1"/>
  <c r="DC119" i="1" s="1"/>
  <c r="DA86" i="1"/>
  <c r="DC86" i="1" s="1"/>
  <c r="DA150" i="1"/>
  <c r="DC150" i="1" s="1"/>
  <c r="DA113" i="1"/>
  <c r="DC113" i="1" s="1"/>
  <c r="DA177" i="1"/>
  <c r="DC177" i="1" s="1"/>
  <c r="DA140" i="1"/>
  <c r="DC140" i="1" s="1"/>
  <c r="DB82" i="1" l="1"/>
  <c r="W125" i="1" s="1"/>
  <c r="DG143" i="1" l="1"/>
  <c r="DI143" i="1" s="1"/>
  <c r="DG101" i="1"/>
  <c r="DI101" i="1" s="1"/>
  <c r="DG110" i="1"/>
  <c r="DI110" i="1" s="1"/>
  <c r="DG129" i="1"/>
  <c r="DI129" i="1" s="1"/>
  <c r="DG138" i="1"/>
  <c r="DI138" i="1" s="1"/>
  <c r="DG124" i="1"/>
  <c r="DI124" i="1" s="1"/>
  <c r="DG111" i="1"/>
  <c r="DI111" i="1" s="1"/>
  <c r="DG139" i="1"/>
  <c r="DI139" i="1" s="1"/>
  <c r="DG161" i="1"/>
  <c r="DI161" i="1" s="1"/>
  <c r="DG166" i="1"/>
  <c r="DI166" i="1" s="1"/>
  <c r="DG136" i="1"/>
  <c r="DI136" i="1" s="1"/>
  <c r="DG180" i="1"/>
  <c r="DI180" i="1" s="1"/>
  <c r="DG114" i="1"/>
  <c r="DI114" i="1" s="1"/>
  <c r="DG144" i="1"/>
  <c r="DI144" i="1" s="1"/>
  <c r="DG115" i="1"/>
  <c r="DI115" i="1" s="1"/>
  <c r="DG163" i="1"/>
  <c r="DI163" i="1" s="1"/>
  <c r="DG168" i="1"/>
  <c r="DI168" i="1" s="1"/>
  <c r="DG177" i="1"/>
  <c r="DI177" i="1" s="1"/>
  <c r="DG132" i="1"/>
  <c r="DI132" i="1" s="1"/>
  <c r="DG117" i="1"/>
  <c r="DI117" i="1" s="1"/>
  <c r="DG94" i="1"/>
  <c r="DI94" i="1" s="1"/>
  <c r="DG108" i="1"/>
  <c r="DI108" i="1" s="1"/>
  <c r="DG122" i="1"/>
  <c r="DI122" i="1" s="1"/>
  <c r="DG120" i="1"/>
  <c r="DI120" i="1" s="1"/>
  <c r="DG150" i="1"/>
  <c r="DI150" i="1" s="1"/>
  <c r="DG154" i="1"/>
  <c r="DI154" i="1" s="1"/>
  <c r="DG127" i="1"/>
  <c r="DI127" i="1" s="1"/>
  <c r="DG145" i="1"/>
  <c r="DI145" i="1" s="1"/>
  <c r="DG155" i="1"/>
  <c r="DI155" i="1" s="1"/>
  <c r="DG157" i="1"/>
  <c r="DI157" i="1" s="1"/>
  <c r="DG86" i="1"/>
  <c r="DI86" i="1" s="1"/>
  <c r="DG137" i="1"/>
  <c r="DI137" i="1" s="1"/>
  <c r="DG121" i="1"/>
  <c r="DI121" i="1" s="1"/>
  <c r="DG164" i="1"/>
  <c r="DI164" i="1" s="1"/>
  <c r="DG87" i="1"/>
  <c r="DI87" i="1" s="1"/>
  <c r="DG149" i="1"/>
  <c r="DI149" i="1" s="1"/>
  <c r="DG88" i="1"/>
  <c r="DI88" i="1" s="1"/>
  <c r="DG119" i="1"/>
  <c r="DI119" i="1" s="1"/>
  <c r="DG98" i="1"/>
  <c r="DI98" i="1" s="1"/>
  <c r="DG128" i="1"/>
  <c r="DI128" i="1" s="1"/>
  <c r="DG142" i="1"/>
  <c r="DI142" i="1" s="1"/>
  <c r="DG151" i="1"/>
  <c r="DI151" i="1" s="1"/>
  <c r="DG100" i="1"/>
  <c r="DI100" i="1" s="1"/>
  <c r="DG99" i="1"/>
  <c r="DI99" i="1" s="1"/>
  <c r="DG171" i="1"/>
  <c r="DI171" i="1" s="1"/>
  <c r="DG159" i="1"/>
  <c r="DI159" i="1" s="1"/>
  <c r="DG123" i="1"/>
  <c r="DI123" i="1" s="1"/>
  <c r="DG118" i="1"/>
  <c r="DI118" i="1" s="1"/>
  <c r="DG176" i="1"/>
  <c r="DI176" i="1" s="1"/>
  <c r="DG131" i="1"/>
  <c r="DI131" i="1" s="1"/>
  <c r="DG83" i="1"/>
  <c r="DI83" i="1" s="1"/>
  <c r="DG125" i="1"/>
  <c r="DI125" i="1" s="1"/>
  <c r="DG169" i="1"/>
  <c r="DI169" i="1" s="1"/>
  <c r="DG96" i="1"/>
  <c r="DI96" i="1" s="1"/>
  <c r="DG162" i="1"/>
  <c r="DI162" i="1" s="1"/>
  <c r="DG105" i="1"/>
  <c r="DI105" i="1" s="1"/>
  <c r="DG133" i="1"/>
  <c r="DI133" i="1" s="1"/>
  <c r="DG97" i="1"/>
  <c r="DI97" i="1" s="1"/>
  <c r="DG173" i="1"/>
  <c r="DI173" i="1" s="1"/>
  <c r="DG156" i="1"/>
  <c r="DI156" i="1" s="1"/>
  <c r="DG170" i="1"/>
  <c r="DI170" i="1" s="1"/>
  <c r="DG104" i="1"/>
  <c r="DI104" i="1" s="1"/>
  <c r="DG134" i="1"/>
  <c r="DI134" i="1" s="1"/>
  <c r="DG107" i="1"/>
  <c r="DI107" i="1" s="1"/>
  <c r="DG109" i="1"/>
  <c r="DI109" i="1" s="1"/>
  <c r="DG130" i="1"/>
  <c r="DI130" i="1" s="1"/>
  <c r="DG140" i="1"/>
  <c r="DI140" i="1" s="1"/>
  <c r="DG179" i="1"/>
  <c r="DI179" i="1" s="1"/>
  <c r="DG182" i="1"/>
  <c r="DI182" i="1" s="1"/>
  <c r="DG106" i="1"/>
  <c r="DI106" i="1" s="1"/>
  <c r="DG116" i="1"/>
  <c r="DI116" i="1" s="1"/>
  <c r="DG160" i="1"/>
  <c r="DI160" i="1" s="1"/>
  <c r="DG84" i="1"/>
  <c r="DI84" i="1" s="1"/>
  <c r="DG91" i="1"/>
  <c r="DI91" i="1" s="1"/>
  <c r="DG167" i="1"/>
  <c r="DI167" i="1" s="1"/>
  <c r="DG102" i="1"/>
  <c r="DI102" i="1" s="1"/>
  <c r="DG175" i="1"/>
  <c r="DI175" i="1" s="1"/>
  <c r="DG103" i="1"/>
  <c r="DI103" i="1" s="1"/>
  <c r="DG172" i="1"/>
  <c r="DI172" i="1" s="1"/>
  <c r="DG85" i="1"/>
  <c r="DI85" i="1" s="1"/>
  <c r="DG141" i="1"/>
  <c r="DI141" i="1" s="1"/>
  <c r="DG135" i="1"/>
  <c r="DI135" i="1" s="1"/>
  <c r="DG153" i="1"/>
  <c r="DI153" i="1" s="1"/>
  <c r="DG148" i="1"/>
  <c r="DI148" i="1" s="1"/>
  <c r="DG178" i="1"/>
  <c r="DI178" i="1" s="1"/>
  <c r="DG112" i="1"/>
  <c r="DI112" i="1" s="1"/>
  <c r="DG152" i="1"/>
  <c r="DI152" i="1" s="1"/>
  <c r="DG93" i="1"/>
  <c r="DI93" i="1" s="1"/>
  <c r="DG174" i="1"/>
  <c r="DI174" i="1" s="1"/>
  <c r="DG89" i="1"/>
  <c r="DI89" i="1" s="1"/>
  <c r="DG90" i="1"/>
  <c r="DI90" i="1" s="1"/>
  <c r="DG147" i="1"/>
  <c r="DI147" i="1" s="1"/>
  <c r="DG165" i="1"/>
  <c r="DI165" i="1" s="1"/>
  <c r="DG92" i="1"/>
  <c r="DI92" i="1" s="1"/>
  <c r="DG146" i="1"/>
  <c r="DI146" i="1" s="1"/>
  <c r="DG126" i="1"/>
  <c r="DI126" i="1" s="1"/>
  <c r="DG181" i="1"/>
  <c r="DI181" i="1" s="1"/>
  <c r="DG95" i="1"/>
  <c r="DI95" i="1" s="1"/>
  <c r="DG158" i="1"/>
  <c r="DI158" i="1" s="1"/>
  <c r="DG113" i="1"/>
  <c r="DI113" i="1" s="1"/>
  <c r="DH82" i="1" l="1"/>
  <c r="W126" i="1" s="1"/>
  <c r="DM131" i="1" l="1"/>
  <c r="DO131" i="1" s="1"/>
  <c r="DM100" i="1"/>
  <c r="DO100" i="1" s="1"/>
  <c r="DM84" i="1"/>
  <c r="DO84" i="1" s="1"/>
  <c r="DM83" i="1"/>
  <c r="DO83" i="1" s="1"/>
  <c r="DM119" i="1"/>
  <c r="DO119" i="1" s="1"/>
  <c r="DM140" i="1"/>
  <c r="DO140" i="1" s="1"/>
  <c r="DM160" i="1"/>
  <c r="DO160" i="1" s="1"/>
  <c r="DM135" i="1"/>
  <c r="DO135" i="1" s="1"/>
  <c r="DM175" i="1"/>
  <c r="DO175" i="1" s="1"/>
  <c r="DM106" i="1"/>
  <c r="DO106" i="1" s="1"/>
  <c r="DM108" i="1"/>
  <c r="DO108" i="1" s="1"/>
  <c r="DM112" i="1"/>
  <c r="DO112" i="1" s="1"/>
  <c r="DM182" i="1"/>
  <c r="DO182" i="1" s="1"/>
  <c r="DM138" i="1"/>
  <c r="DO138" i="1" s="1"/>
  <c r="DM87" i="1"/>
  <c r="DO87" i="1" s="1"/>
  <c r="DM169" i="1"/>
  <c r="DO169" i="1" s="1"/>
  <c r="DM152" i="1"/>
  <c r="DO152" i="1" s="1"/>
  <c r="DM130" i="1"/>
  <c r="DO130" i="1" s="1"/>
  <c r="DM91" i="1"/>
  <c r="DO91" i="1" s="1"/>
  <c r="DM85" i="1"/>
  <c r="DO85" i="1" s="1"/>
  <c r="DM178" i="1"/>
  <c r="DO178" i="1" s="1"/>
  <c r="DM118" i="1"/>
  <c r="DO118" i="1" s="1"/>
  <c r="DM159" i="1"/>
  <c r="DO159" i="1" s="1"/>
  <c r="DM92" i="1"/>
  <c r="DO92" i="1" s="1"/>
  <c r="DM103" i="1"/>
  <c r="DO103" i="1" s="1"/>
  <c r="DM149" i="1"/>
  <c r="DO149" i="1" s="1"/>
  <c r="DM99" i="1"/>
  <c r="DO99" i="1" s="1"/>
  <c r="DM113" i="1"/>
  <c r="DO113" i="1" s="1"/>
  <c r="DM139" i="1"/>
  <c r="DO139" i="1" s="1"/>
  <c r="DM168" i="1"/>
  <c r="DO168" i="1" s="1"/>
  <c r="DM90" i="1"/>
  <c r="DO90" i="1" s="1"/>
  <c r="DM156" i="1"/>
  <c r="DO156" i="1" s="1"/>
  <c r="DM154" i="1"/>
  <c r="DO154" i="1" s="1"/>
  <c r="DM94" i="1"/>
  <c r="DO94" i="1" s="1"/>
  <c r="DM123" i="1"/>
  <c r="DO123" i="1" s="1"/>
  <c r="DM141" i="1"/>
  <c r="DO141" i="1" s="1"/>
  <c r="DM115" i="1"/>
  <c r="DO115" i="1" s="1"/>
  <c r="DM161" i="1"/>
  <c r="DO161" i="1" s="1"/>
  <c r="DM180" i="1"/>
  <c r="DO180" i="1" s="1"/>
  <c r="DM144" i="1"/>
  <c r="DO144" i="1" s="1"/>
  <c r="DM148" i="1"/>
  <c r="DO148" i="1" s="1"/>
  <c r="DM111" i="1"/>
  <c r="DO111" i="1" s="1"/>
  <c r="DM128" i="1"/>
  <c r="DO128" i="1" s="1"/>
  <c r="DM174" i="1"/>
  <c r="DO174" i="1" s="1"/>
  <c r="DM126" i="1"/>
  <c r="DO126" i="1" s="1"/>
  <c r="DM146" i="1"/>
  <c r="DO146" i="1" s="1"/>
  <c r="DM88" i="1"/>
  <c r="DO88" i="1" s="1"/>
  <c r="DM114" i="1"/>
  <c r="DO114" i="1" s="1"/>
  <c r="DM124" i="1"/>
  <c r="DO124" i="1" s="1"/>
  <c r="DM104" i="1"/>
  <c r="DO104" i="1" s="1"/>
  <c r="DM129" i="1"/>
  <c r="DO129" i="1" s="1"/>
  <c r="DM102" i="1"/>
  <c r="DO102" i="1" s="1"/>
  <c r="DM164" i="1"/>
  <c r="DO164" i="1" s="1"/>
  <c r="DM136" i="1"/>
  <c r="DO136" i="1" s="1"/>
  <c r="DM165" i="1"/>
  <c r="DO165" i="1" s="1"/>
  <c r="DM132" i="1"/>
  <c r="DO132" i="1" s="1"/>
  <c r="DM143" i="1"/>
  <c r="DO143" i="1" s="1"/>
  <c r="DM181" i="1"/>
  <c r="DO181" i="1" s="1"/>
  <c r="DM86" i="1"/>
  <c r="DO86" i="1" s="1"/>
  <c r="DM93" i="1"/>
  <c r="DO93" i="1" s="1"/>
  <c r="DM105" i="1"/>
  <c r="DO105" i="1" s="1"/>
  <c r="DM172" i="1"/>
  <c r="DO172" i="1" s="1"/>
  <c r="DM89" i="1"/>
  <c r="DO89" i="1" s="1"/>
  <c r="DM121" i="1"/>
  <c r="DO121" i="1" s="1"/>
  <c r="DM151" i="1"/>
  <c r="DO151" i="1" s="1"/>
  <c r="DM158" i="1"/>
  <c r="DO158" i="1" s="1"/>
  <c r="DM117" i="1"/>
  <c r="DO117" i="1" s="1"/>
  <c r="DM133" i="1"/>
  <c r="DO133" i="1" s="1"/>
  <c r="DM134" i="1"/>
  <c r="DO134" i="1" s="1"/>
  <c r="DM122" i="1"/>
  <c r="DO122" i="1" s="1"/>
  <c r="DM177" i="1"/>
  <c r="DO177" i="1" s="1"/>
  <c r="DM166" i="1"/>
  <c r="DO166" i="1" s="1"/>
  <c r="DM110" i="1"/>
  <c r="DO110" i="1" s="1"/>
  <c r="DM170" i="1"/>
  <c r="DO170" i="1" s="1"/>
  <c r="DM147" i="1"/>
  <c r="DO147" i="1" s="1"/>
  <c r="DM109" i="1"/>
  <c r="DO109" i="1" s="1"/>
  <c r="DM163" i="1"/>
  <c r="DO163" i="1" s="1"/>
  <c r="DM145" i="1"/>
  <c r="DO145" i="1" s="1"/>
  <c r="DM95" i="1"/>
  <c r="DO95" i="1" s="1"/>
  <c r="DM173" i="1"/>
  <c r="DO173" i="1" s="1"/>
  <c r="DM162" i="1"/>
  <c r="DO162" i="1" s="1"/>
  <c r="DM153" i="1"/>
  <c r="DO153" i="1" s="1"/>
  <c r="DM142" i="1"/>
  <c r="DO142" i="1" s="1"/>
  <c r="DM127" i="1"/>
  <c r="DO127" i="1" s="1"/>
  <c r="DM176" i="1"/>
  <c r="DO176" i="1" s="1"/>
  <c r="DM179" i="1"/>
  <c r="DO179" i="1" s="1"/>
  <c r="DM171" i="1"/>
  <c r="DO171" i="1" s="1"/>
  <c r="DM167" i="1"/>
  <c r="DO167" i="1" s="1"/>
  <c r="DM157" i="1"/>
  <c r="DO157" i="1" s="1"/>
  <c r="DM137" i="1"/>
  <c r="DO137" i="1" s="1"/>
  <c r="DM116" i="1"/>
  <c r="DO116" i="1" s="1"/>
  <c r="DM125" i="1"/>
  <c r="DO125" i="1" s="1"/>
  <c r="DM155" i="1"/>
  <c r="DO155" i="1" s="1"/>
  <c r="DM101" i="1"/>
  <c r="DO101" i="1" s="1"/>
  <c r="DM107" i="1"/>
  <c r="DO107" i="1" s="1"/>
  <c r="DM98" i="1"/>
  <c r="DO98" i="1" s="1"/>
  <c r="DM150" i="1"/>
  <c r="DO150" i="1" s="1"/>
  <c r="DM96" i="1"/>
  <c r="DO96" i="1" s="1"/>
  <c r="DM120" i="1"/>
  <c r="DO120" i="1" s="1"/>
  <c r="DM97" i="1"/>
  <c r="DO97" i="1" s="1"/>
  <c r="DN82" i="1" l="1"/>
  <c r="W127" i="1" s="1"/>
  <c r="GB6" i="1"/>
  <c r="GQ6" i="1" s="1"/>
  <c r="HA11" i="1" s="1"/>
  <c r="GV68" i="1" l="1"/>
  <c r="GV97" i="1"/>
  <c r="GU39" i="1"/>
  <c r="GU64" i="1"/>
  <c r="GU66" i="1"/>
  <c r="GV14" i="1"/>
  <c r="GU29" i="1"/>
  <c r="GV74" i="1"/>
  <c r="GV69" i="1"/>
  <c r="GV61" i="1"/>
  <c r="GV34" i="1"/>
  <c r="GU94" i="1"/>
  <c r="GU75" i="1"/>
  <c r="GV59" i="1"/>
  <c r="GV92" i="1"/>
  <c r="GV40" i="1"/>
  <c r="GU73" i="1"/>
  <c r="GV51" i="1"/>
  <c r="GU55" i="1"/>
  <c r="GV47" i="1"/>
  <c r="GV53" i="1"/>
  <c r="GV39" i="1"/>
  <c r="GV57" i="1"/>
  <c r="GV25" i="1"/>
  <c r="GV27" i="1"/>
  <c r="GU58" i="1"/>
  <c r="GV19" i="1"/>
  <c r="GU90" i="1"/>
  <c r="GU32" i="1"/>
  <c r="GU59" i="1"/>
  <c r="GV49" i="1"/>
  <c r="GU11" i="1"/>
  <c r="GV35" i="1"/>
  <c r="GV31" i="1"/>
  <c r="GU26" i="1"/>
  <c r="GU67" i="1"/>
  <c r="GV6" i="1"/>
  <c r="GV91" i="1"/>
  <c r="GU93" i="1"/>
  <c r="GV96" i="1"/>
  <c r="GV33" i="1"/>
  <c r="GU48" i="1"/>
  <c r="GV30" i="1"/>
  <c r="GU14" i="1"/>
  <c r="GV52" i="1"/>
  <c r="GV41" i="1"/>
  <c r="GV89" i="1"/>
  <c r="GV99" i="1"/>
  <c r="GU9" i="1"/>
  <c r="GV104" i="1"/>
  <c r="GV85" i="1"/>
  <c r="GU101" i="1"/>
  <c r="GV77" i="1"/>
  <c r="GV42" i="1"/>
  <c r="GU24" i="1"/>
  <c r="GU70" i="1"/>
  <c r="GV18" i="1"/>
  <c r="GU52" i="1"/>
  <c r="GU49" i="1"/>
  <c r="GV37" i="1"/>
  <c r="GV54" i="1"/>
  <c r="GU40" i="1"/>
  <c r="GV44" i="1"/>
  <c r="GU76" i="1"/>
  <c r="GV100" i="1"/>
  <c r="GV82" i="1"/>
  <c r="GV56" i="1"/>
  <c r="GU22" i="1"/>
  <c r="GU81" i="1"/>
  <c r="GU36" i="1"/>
  <c r="GV10" i="1"/>
  <c r="GU45" i="1"/>
  <c r="GU60" i="1"/>
  <c r="GU13" i="1"/>
  <c r="GU54" i="1"/>
  <c r="GV101" i="1"/>
  <c r="GV70" i="1"/>
  <c r="GU27" i="1"/>
  <c r="GU46" i="1"/>
  <c r="GV93" i="1"/>
  <c r="GV62" i="1"/>
  <c r="GV50" i="1"/>
  <c r="GU63" i="1"/>
  <c r="GU8" i="1"/>
  <c r="GV46" i="1"/>
  <c r="GU91" i="1"/>
  <c r="GV29" i="1"/>
  <c r="GU56" i="1"/>
  <c r="GU102" i="1"/>
  <c r="GV38" i="1"/>
  <c r="GU83" i="1"/>
  <c r="GU16" i="1"/>
  <c r="GU103" i="1"/>
  <c r="GV9" i="1"/>
  <c r="GU99" i="1"/>
  <c r="GU10" i="1"/>
  <c r="GU88" i="1"/>
  <c r="GU84" i="1"/>
  <c r="GV60" i="1"/>
  <c r="GV95" i="1"/>
  <c r="GU7" i="1"/>
  <c r="GV65" i="1"/>
  <c r="GV75" i="1"/>
  <c r="GV23" i="1"/>
  <c r="GU31" i="1"/>
  <c r="GU77" i="1"/>
  <c r="GU41" i="1"/>
  <c r="GV80" i="1"/>
  <c r="GU33" i="1"/>
  <c r="GU95" i="1"/>
  <c r="GU78" i="1"/>
  <c r="GV22" i="1"/>
  <c r="GV28" i="1"/>
  <c r="GV13" i="1"/>
  <c r="GU18" i="1"/>
  <c r="GV15" i="1"/>
  <c r="GU50" i="1"/>
  <c r="GV71" i="1"/>
  <c r="GU62" i="1"/>
  <c r="GV94" i="1"/>
  <c r="GU47" i="1"/>
  <c r="GV76" i="1"/>
  <c r="GU85" i="1"/>
  <c r="GV83" i="1"/>
  <c r="GU5" i="1"/>
  <c r="GU25" i="1"/>
  <c r="GU17" i="1"/>
  <c r="GU20" i="1"/>
  <c r="GU44" i="1"/>
  <c r="GV67" i="1"/>
  <c r="GV12" i="1"/>
  <c r="GU74" i="1"/>
  <c r="GU38" i="1"/>
  <c r="GV78" i="1"/>
  <c r="GU28" i="1"/>
  <c r="GV102" i="1"/>
  <c r="GU97" i="1"/>
  <c r="GU71" i="1"/>
  <c r="GV66" i="1"/>
  <c r="GV5" i="1"/>
  <c r="GV20" i="1"/>
  <c r="GU53" i="1"/>
  <c r="GV55" i="1"/>
  <c r="GV32" i="1"/>
  <c r="GU82" i="1"/>
  <c r="GU51" i="1"/>
  <c r="GV24" i="1"/>
  <c r="GU37" i="1"/>
  <c r="GV81" i="1"/>
  <c r="GV45" i="1"/>
  <c r="GU79" i="1"/>
  <c r="GU72" i="1"/>
  <c r="GU65" i="1"/>
  <c r="GU86" i="1"/>
  <c r="GV88" i="1"/>
  <c r="GV103" i="1"/>
  <c r="GU87" i="1"/>
  <c r="GU69" i="1"/>
  <c r="GV72" i="1"/>
  <c r="GV63" i="1"/>
  <c r="GV87" i="1"/>
  <c r="GV8" i="1"/>
  <c r="GV21" i="1"/>
  <c r="GU30" i="1"/>
  <c r="GV43" i="1"/>
  <c r="GU80" i="1"/>
  <c r="GU57" i="1"/>
  <c r="GV90" i="1"/>
  <c r="GV64" i="1"/>
  <c r="GU61" i="1"/>
  <c r="GV48" i="1"/>
  <c r="GV79" i="1"/>
  <c r="GU96" i="1"/>
  <c r="GV7" i="1"/>
  <c r="GU104" i="1"/>
  <c r="GV73" i="1"/>
  <c r="GU34" i="1"/>
  <c r="GU92" i="1"/>
  <c r="GV11" i="1"/>
  <c r="GU12" i="1"/>
  <c r="GU6" i="1"/>
  <c r="GU42" i="1"/>
  <c r="GU23" i="1"/>
  <c r="GU98" i="1"/>
  <c r="GV86" i="1"/>
  <c r="GV84" i="1"/>
  <c r="GU89" i="1"/>
  <c r="GU15" i="1"/>
  <c r="GU19" i="1"/>
  <c r="GU100" i="1"/>
  <c r="GV17" i="1"/>
  <c r="GV36" i="1"/>
  <c r="GU35" i="1"/>
  <c r="GV16" i="1"/>
  <c r="GU21" i="1"/>
  <c r="GU43" i="1"/>
  <c r="GV98" i="1"/>
  <c r="GV26" i="1"/>
  <c r="GV58" i="1"/>
  <c r="GU68" i="1"/>
  <c r="GY10" i="1" l="1"/>
  <c r="GY6" i="1"/>
  <c r="GZ6" i="1"/>
  <c r="GY5" i="1"/>
  <c r="GZ10" i="1"/>
  <c r="GZ8" i="1"/>
  <c r="GY8" i="1"/>
  <c r="GZ11" i="1"/>
  <c r="GZ12" i="1" s="1"/>
  <c r="GZ13" i="1" s="1"/>
  <c r="GZ14" i="1" s="1"/>
  <c r="GZ15" i="1" s="1"/>
  <c r="GZ16" i="1" s="1"/>
  <c r="GZ17" i="1" s="1"/>
  <c r="GZ18" i="1" s="1"/>
  <c r="GZ19" i="1" s="1"/>
  <c r="GZ20" i="1" s="1"/>
  <c r="GZ21" i="1" s="1"/>
  <c r="GZ22" i="1" s="1"/>
  <c r="GZ23" i="1" s="1"/>
  <c r="GZ24" i="1" s="1"/>
  <c r="GZ25" i="1" s="1"/>
  <c r="GZ26" i="1" s="1"/>
  <c r="GZ27" i="1" s="1"/>
  <c r="GZ28" i="1" s="1"/>
  <c r="GZ29" i="1" s="1"/>
  <c r="GZ30" i="1" s="1"/>
  <c r="GZ31" i="1" s="1"/>
  <c r="GZ32" i="1" s="1"/>
  <c r="GZ33" i="1" s="1"/>
  <c r="GZ34" i="1" s="1"/>
  <c r="GZ35" i="1" s="1"/>
  <c r="GZ36" i="1" s="1"/>
  <c r="GZ37" i="1" s="1"/>
  <c r="GZ38" i="1" s="1"/>
  <c r="GZ39" i="1" s="1"/>
  <c r="GZ40" i="1" s="1"/>
  <c r="GZ41" i="1" s="1"/>
  <c r="GZ42" i="1" s="1"/>
  <c r="GZ43" i="1" s="1"/>
  <c r="GZ44" i="1" s="1"/>
  <c r="GZ45" i="1" s="1"/>
  <c r="GZ46" i="1" s="1"/>
  <c r="GZ47" i="1" s="1"/>
  <c r="GZ48" i="1" s="1"/>
  <c r="GZ49" i="1" s="1"/>
  <c r="GZ50" i="1" s="1"/>
  <c r="GZ51" i="1" s="1"/>
  <c r="GZ52" i="1" s="1"/>
  <c r="GZ53" i="1" s="1"/>
  <c r="GZ54" i="1" s="1"/>
  <c r="GZ55" i="1" s="1"/>
  <c r="GZ56" i="1" s="1"/>
  <c r="GZ57" i="1" s="1"/>
  <c r="GZ58" i="1" s="1"/>
  <c r="GZ59" i="1" s="1"/>
  <c r="GZ60" i="1" s="1"/>
  <c r="GZ61" i="1" s="1"/>
  <c r="GZ62" i="1" s="1"/>
  <c r="GZ63" i="1" s="1"/>
  <c r="GZ64" i="1" s="1"/>
  <c r="GZ65" i="1" s="1"/>
  <c r="GZ66" i="1" s="1"/>
  <c r="GZ67" i="1" s="1"/>
  <c r="GZ68" i="1" s="1"/>
  <c r="GZ69" i="1" s="1"/>
  <c r="GZ70" i="1" s="1"/>
  <c r="GZ71" i="1" s="1"/>
  <c r="GZ72" i="1" s="1"/>
  <c r="GZ73" i="1" s="1"/>
  <c r="GZ74" i="1" s="1"/>
  <c r="GZ75" i="1" s="1"/>
  <c r="GZ76" i="1" s="1"/>
  <c r="GZ77" i="1" s="1"/>
  <c r="GZ78" i="1" s="1"/>
  <c r="GZ79" i="1" s="1"/>
  <c r="GZ80" i="1" s="1"/>
  <c r="GZ81" i="1" s="1"/>
  <c r="GZ82" i="1" s="1"/>
  <c r="GZ83" i="1" s="1"/>
  <c r="GZ84" i="1" s="1"/>
  <c r="GZ85" i="1" s="1"/>
  <c r="GZ86" i="1" s="1"/>
  <c r="GZ87" i="1" s="1"/>
  <c r="GZ88" i="1" s="1"/>
  <c r="GZ89" i="1" s="1"/>
  <c r="GZ90" i="1" s="1"/>
  <c r="GZ91" i="1" s="1"/>
  <c r="GZ92" i="1" s="1"/>
  <c r="GZ93" i="1" s="1"/>
  <c r="GZ94" i="1" s="1"/>
  <c r="GZ95" i="1" s="1"/>
  <c r="GZ96" i="1" s="1"/>
  <c r="GZ97" i="1" s="1"/>
  <c r="GZ98" i="1" s="1"/>
  <c r="GZ99" i="1" s="1"/>
  <c r="GZ100" i="1" s="1"/>
  <c r="GZ101" i="1" s="1"/>
  <c r="GZ102" i="1" s="1"/>
  <c r="GZ103" i="1" s="1"/>
  <c r="GZ104" i="1" s="1"/>
  <c r="GY11" i="1"/>
  <c r="GY12" i="1" s="1"/>
  <c r="GY13" i="1" s="1"/>
  <c r="GY14" i="1" s="1"/>
  <c r="GY15" i="1" s="1"/>
  <c r="GY16" i="1" s="1"/>
  <c r="GY17" i="1" s="1"/>
  <c r="GY18" i="1" s="1"/>
  <c r="GY19" i="1" s="1"/>
  <c r="GY20" i="1" s="1"/>
  <c r="GY21" i="1" s="1"/>
  <c r="GY22" i="1" s="1"/>
  <c r="GY23" i="1" s="1"/>
  <c r="GY24" i="1" s="1"/>
  <c r="GY25" i="1" s="1"/>
  <c r="GY26" i="1" s="1"/>
  <c r="GY27" i="1" s="1"/>
  <c r="GY28" i="1" s="1"/>
  <c r="GY29" i="1" s="1"/>
  <c r="GY30" i="1" s="1"/>
  <c r="GY31" i="1" s="1"/>
  <c r="GY32" i="1" s="1"/>
  <c r="GY33" i="1" s="1"/>
  <c r="GY34" i="1" s="1"/>
  <c r="GY35" i="1" s="1"/>
  <c r="GY36" i="1" s="1"/>
  <c r="GY37" i="1" s="1"/>
  <c r="GY38" i="1" s="1"/>
  <c r="GY39" i="1" s="1"/>
  <c r="GY40" i="1" s="1"/>
  <c r="GY41" i="1" s="1"/>
  <c r="GY42" i="1" s="1"/>
  <c r="GY43" i="1" s="1"/>
  <c r="GY44" i="1" s="1"/>
  <c r="GY45" i="1" s="1"/>
  <c r="GY46" i="1" s="1"/>
  <c r="GY47" i="1" s="1"/>
  <c r="GY48" i="1" s="1"/>
  <c r="GY49" i="1" s="1"/>
  <c r="GY50" i="1" s="1"/>
  <c r="GY51" i="1" s="1"/>
  <c r="GY52" i="1" s="1"/>
  <c r="GY53" i="1" s="1"/>
  <c r="GY54" i="1" s="1"/>
  <c r="GY55" i="1" s="1"/>
  <c r="GY56" i="1" s="1"/>
  <c r="GY57" i="1" s="1"/>
  <c r="GY58" i="1" s="1"/>
  <c r="GY59" i="1" s="1"/>
  <c r="GY60" i="1" s="1"/>
  <c r="GY61" i="1" s="1"/>
  <c r="GY62" i="1" s="1"/>
  <c r="GY63" i="1" s="1"/>
  <c r="GY64" i="1" s="1"/>
  <c r="GY65" i="1" s="1"/>
  <c r="GY66" i="1" s="1"/>
  <c r="GY67" i="1" s="1"/>
  <c r="GY68" i="1" s="1"/>
  <c r="GY69" i="1" s="1"/>
  <c r="GY70" i="1" s="1"/>
  <c r="GY71" i="1" s="1"/>
  <c r="GY72" i="1" s="1"/>
  <c r="GY73" i="1" s="1"/>
  <c r="GY74" i="1" s="1"/>
  <c r="GY75" i="1" s="1"/>
  <c r="GY76" i="1" s="1"/>
  <c r="GY77" i="1" s="1"/>
  <c r="GY78" i="1" s="1"/>
  <c r="GY79" i="1" s="1"/>
  <c r="GY80" i="1" s="1"/>
  <c r="GY81" i="1" s="1"/>
  <c r="GY82" i="1" s="1"/>
  <c r="GY83" i="1" s="1"/>
  <c r="GY84" i="1" s="1"/>
  <c r="GY85" i="1" s="1"/>
  <c r="GY86" i="1" s="1"/>
  <c r="GY87" i="1" s="1"/>
  <c r="GY88" i="1" s="1"/>
  <c r="GY89" i="1" s="1"/>
  <c r="GY90" i="1" s="1"/>
  <c r="GY91" i="1" s="1"/>
  <c r="GY92" i="1" s="1"/>
  <c r="GY93" i="1" s="1"/>
  <c r="GY94" i="1" s="1"/>
  <c r="GY95" i="1" s="1"/>
  <c r="GY96" i="1" s="1"/>
  <c r="GY97" i="1" s="1"/>
  <c r="GY98" i="1" s="1"/>
  <c r="GY99" i="1" s="1"/>
  <c r="GY100" i="1" s="1"/>
  <c r="GY101" i="1" s="1"/>
  <c r="GY102" i="1" s="1"/>
  <c r="GY103" i="1" s="1"/>
  <c r="GY104" i="1" s="1"/>
  <c r="GZ5" i="1"/>
  <c r="GY7" i="1"/>
  <c r="GZ7" i="1"/>
  <c r="GZ9" i="1"/>
  <c r="GY9" i="1"/>
  <c r="HC9" i="1" l="1"/>
  <c r="HC8" i="1"/>
  <c r="HB6" i="1"/>
  <c r="HB5" i="1"/>
  <c r="HC14" i="1" l="1"/>
  <c r="HB11" i="1"/>
</calcChain>
</file>

<file path=xl/sharedStrings.xml><?xml version="1.0" encoding="utf-8"?>
<sst xmlns="http://schemas.openxmlformats.org/spreadsheetml/2006/main" count="761" uniqueCount="157">
  <si>
    <t>%</t>
  </si>
  <si>
    <t>m</t>
  </si>
  <si>
    <t>l/s</t>
  </si>
  <si>
    <t>Your Logo / Company Details Here</t>
  </si>
  <si>
    <t>Project:</t>
  </si>
  <si>
    <t>By:</t>
  </si>
  <si>
    <t>Calculation:</t>
  </si>
  <si>
    <t>Approved:</t>
  </si>
  <si>
    <t>Sheet Number:</t>
  </si>
  <si>
    <t>Date:</t>
  </si>
  <si>
    <t/>
  </si>
  <si>
    <t>Catchment Details</t>
  </si>
  <si>
    <t>Catchment Area</t>
  </si>
  <si>
    <t>m²</t>
  </si>
  <si>
    <t>Runoff Coefficient</t>
  </si>
  <si>
    <t>Location Code</t>
  </si>
  <si>
    <t>Return Period</t>
  </si>
  <si>
    <t>Climate Change Factor</t>
  </si>
  <si>
    <t>years</t>
  </si>
  <si>
    <t>Length</t>
  </si>
  <si>
    <t>A</t>
  </si>
  <si>
    <t>abc</t>
  </si>
  <si>
    <t>B</t>
  </si>
  <si>
    <t>def</t>
  </si>
  <si>
    <t>C</t>
  </si>
  <si>
    <t>ghi</t>
  </si>
  <si>
    <t>D</t>
  </si>
  <si>
    <t>jkl</t>
  </si>
  <si>
    <t>E</t>
  </si>
  <si>
    <t>mno</t>
  </si>
  <si>
    <t>F</t>
  </si>
  <si>
    <t>pqr</t>
  </si>
  <si>
    <t>G</t>
  </si>
  <si>
    <t>stu</t>
  </si>
  <si>
    <t>H</t>
  </si>
  <si>
    <t>vw</t>
  </si>
  <si>
    <t>Rainfall</t>
  </si>
  <si>
    <t>Storm duration</t>
  </si>
  <si>
    <t>M5-60</t>
  </si>
  <si>
    <t>r Ratio</t>
  </si>
  <si>
    <t>Rectangular</t>
  </si>
  <si>
    <t>Cylindrical</t>
  </si>
  <si>
    <t>UK Rainfall Map</t>
  </si>
  <si>
    <t>x</t>
  </si>
  <si>
    <t>y</t>
  </si>
  <si>
    <t>Linear Drain Design</t>
  </si>
  <si>
    <t>AP</t>
  </si>
  <si>
    <t>catchment area</t>
  </si>
  <si>
    <t>m2</t>
  </si>
  <si>
    <t>permeability factor</t>
  </si>
  <si>
    <t>r</t>
  </si>
  <si>
    <t>rainfall intensity</t>
  </si>
  <si>
    <t>mm/hr</t>
  </si>
  <si>
    <t>S</t>
  </si>
  <si>
    <t>gound slope</t>
  </si>
  <si>
    <t>Hexagon</t>
  </si>
  <si>
    <t>Height (h)</t>
  </si>
  <si>
    <t>Cross Sectional Area (A)</t>
  </si>
  <si>
    <t>Oval</t>
  </si>
  <si>
    <t>Channel100</t>
  </si>
  <si>
    <t>Channel150</t>
  </si>
  <si>
    <t>Channel200</t>
  </si>
  <si>
    <t>Channel430</t>
  </si>
  <si>
    <t>KerbDrain150</t>
  </si>
  <si>
    <t>KerbDrain280</t>
  </si>
  <si>
    <t>L</t>
  </si>
  <si>
    <t>length of channel</t>
  </si>
  <si>
    <t>b</t>
  </si>
  <si>
    <t>slope factor</t>
  </si>
  <si>
    <t>select type</t>
  </si>
  <si>
    <t>select size</t>
  </si>
  <si>
    <t>mm</t>
  </si>
  <si>
    <t>N/A</t>
  </si>
  <si>
    <t>h</t>
  </si>
  <si>
    <t>max depth of water</t>
  </si>
  <si>
    <t>channel cross section area</t>
  </si>
  <si>
    <t>Q</t>
  </si>
  <si>
    <t>required Flow</t>
  </si>
  <si>
    <t>single size channel</t>
  </si>
  <si>
    <t>max flow</t>
  </si>
  <si>
    <t>Stepped Channel</t>
  </si>
  <si>
    <t>Step height</t>
  </si>
  <si>
    <t>Channel 100</t>
  </si>
  <si>
    <t>Total Slope</t>
  </si>
  <si>
    <t>new slope factor</t>
  </si>
  <si>
    <t>New Q Capacity</t>
  </si>
  <si>
    <t>Lateral Inflow</t>
  </si>
  <si>
    <t>l/s/m</t>
  </si>
  <si>
    <t>Channel 150</t>
  </si>
  <si>
    <t>1st Section</t>
  </si>
  <si>
    <t>required flow</t>
  </si>
  <si>
    <t>Capacity</t>
  </si>
  <si>
    <t>Channel 200</t>
  </si>
  <si>
    <t>2nd Section</t>
  </si>
  <si>
    <t>Cumulative Length</t>
  </si>
  <si>
    <t>Channel 430</t>
  </si>
  <si>
    <t>3rd Section</t>
  </si>
  <si>
    <t>Kerb Drain 150</t>
  </si>
  <si>
    <t>Kerb Drain 280</t>
  </si>
  <si>
    <t>4th Section</t>
  </si>
  <si>
    <t>5th Section</t>
  </si>
  <si>
    <t>6th Section</t>
  </si>
  <si>
    <t>Linear Drainage Details</t>
  </si>
  <si>
    <r>
      <t xml:space="preserve">Ground Slope </t>
    </r>
    <r>
      <rPr>
        <i/>
        <sz val="10"/>
        <color theme="1"/>
        <rFont val="Arial "/>
      </rPr>
      <t>(S)</t>
    </r>
  </si>
  <si>
    <r>
      <t xml:space="preserve">Length of Channel </t>
    </r>
    <r>
      <rPr>
        <i/>
        <sz val="10"/>
        <color theme="1"/>
        <rFont val="Arial "/>
      </rPr>
      <t>(L)</t>
    </r>
  </si>
  <si>
    <r>
      <t xml:space="preserve">Slope Factor </t>
    </r>
    <r>
      <rPr>
        <i/>
        <sz val="10"/>
        <color theme="1"/>
        <rFont val="Arial "/>
      </rPr>
      <t>(b)</t>
    </r>
  </si>
  <si>
    <t>Channel Design</t>
  </si>
  <si>
    <t>Channel Type</t>
  </si>
  <si>
    <t>Results for Single Size Channel</t>
  </si>
  <si>
    <t>Flow Required</t>
  </si>
  <si>
    <t>Storm Duration</t>
  </si>
  <si>
    <t>mins</t>
  </si>
  <si>
    <t>Channel Cross Section</t>
  </si>
  <si>
    <t>Flow Capacity From Single Size Channel</t>
  </si>
  <si>
    <t>Custom</t>
  </si>
  <si>
    <t>Multiple Size Stepped Channel</t>
  </si>
  <si>
    <t>1st Channel Section Size</t>
  </si>
  <si>
    <t>1st</t>
  </si>
  <si>
    <t>2nd</t>
  </si>
  <si>
    <t>3rd</t>
  </si>
  <si>
    <t>4th</t>
  </si>
  <si>
    <t>5th</t>
  </si>
  <si>
    <t>6th</t>
  </si>
  <si>
    <t>2nd Channel Section Size</t>
  </si>
  <si>
    <t>3rd Channel Section Size</t>
  </si>
  <si>
    <t>4th Channel Section Size</t>
  </si>
  <si>
    <t>5th Channel Section Size</t>
  </si>
  <si>
    <t>6th Channel Section Size</t>
  </si>
  <si>
    <t>=</t>
  </si>
  <si>
    <t>m/m</t>
  </si>
  <si>
    <t>or 1 in</t>
  </si>
  <si>
    <t>circle</t>
  </si>
  <si>
    <t>oval</t>
  </si>
  <si>
    <t>Master</t>
  </si>
  <si>
    <t>Master2</t>
  </si>
  <si>
    <t>Master3</t>
  </si>
  <si>
    <t>Flow Capacity From Stepped Channel</t>
  </si>
  <si>
    <t>Design Storm Intensity</t>
  </si>
  <si>
    <t>Linear Drainage Design</t>
  </si>
  <si>
    <t>Registered User:</t>
  </si>
  <si>
    <t>Free Trial Version - Not For Commercial Use</t>
  </si>
  <si>
    <t>© 2017 CivilWeb</t>
  </si>
  <si>
    <t>Manning Formula - Flow in Circular Pipe</t>
  </si>
  <si>
    <t>Cover Sheet</t>
  </si>
  <si>
    <t>Although all care and attention has been taken to ensure that this program is accurate, CivilWeb gives no guarentee that it is error free. In no event will Civil Web accept any responsibility for any errors or omissions from the program or from the user of the program, or for any special, incedental or consequential damages whatsoever arising from use of this program.</t>
  </si>
  <si>
    <t>This program should only be used by a suitably qualified Civil or Structural Engineer, and suitable efforts should be taken to verify the results.</t>
  </si>
  <si>
    <t>Reverse-engineering or decompiling of this program is not allowed.</t>
  </si>
  <si>
    <t>This program is registered to a single user, and should not be used by any other.</t>
  </si>
  <si>
    <t>Registered User;</t>
  </si>
  <si>
    <t>By using this program you confirm your understanding and agreement with the above terms and conditions.</t>
  </si>
  <si>
    <t>This program remains the property of CivilWeb.</t>
  </si>
  <si>
    <t>www.civilweb-spreadsheets.com</t>
  </si>
  <si>
    <t>Revision Schedule</t>
  </si>
  <si>
    <t>Rev</t>
  </si>
  <si>
    <t>Changes</t>
  </si>
  <si>
    <t>Date</t>
  </si>
  <si>
    <t>Original</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</si>
</sst>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1"/>
      <color theme="1"/>
      <name val="Arial "/>
    </font>
    <font>
      <sz val="10"/>
      <color theme="1"/>
      <name val="Arial "/>
    </font>
    <font>
      <b/>
      <sz val="10"/>
      <color theme="1"/>
      <name val="Arial "/>
    </font>
    <font>
      <b/>
      <sz val="11"/>
      <color theme="1"/>
      <name val="Arial "/>
    </font>
    <font>
      <b/>
      <u/>
      <sz val="10"/>
      <color theme="1"/>
      <name val="Arial "/>
    </font>
    <font>
      <sz val="11"/>
      <color rgb="FFFF0000"/>
      <name val="Calibri"/>
      <family val="2"/>
      <scheme val="minor"/>
    </font>
    <font>
      <sz val="10"/>
      <color rgb="FFFF0000"/>
      <name val="Arial "/>
    </font>
    <font>
      <sz val="10"/>
      <color theme="1"/>
      <name val="Arial"/>
      <family val="2"/>
    </font>
    <font>
      <i/>
      <sz val="10"/>
      <color theme="1"/>
      <name val="Arial "/>
    </font>
    <font>
      <b/>
      <u/>
      <sz val="11"/>
      <color theme="1"/>
      <name val="Calibri"/>
      <family val="2"/>
      <scheme val="minor"/>
    </font>
    <font>
      <sz val="10"/>
      <name val="Arial "/>
    </font>
    <font>
      <sz val="10"/>
      <color rgb="FF69D8FF"/>
      <name val="Arial "/>
    </font>
    <font>
      <sz val="11"/>
      <color rgb="FF69D8FF"/>
      <name val="Calibri"/>
      <family val="2"/>
      <scheme val="minor"/>
    </font>
    <font>
      <sz val="10"/>
      <color rgb="FF92D050"/>
      <name val="Arial "/>
    </font>
    <font>
      <sz val="11"/>
      <color rgb="FF92D050"/>
      <name val="Calibri"/>
      <family val="2"/>
      <scheme val="minor"/>
    </font>
    <font>
      <sz val="10"/>
      <color theme="1"/>
      <name val="Calibri"/>
      <family val="2"/>
      <scheme val="minor"/>
    </font>
    <font>
      <sz val="11"/>
      <color theme="1"/>
      <name val="AngsanaUPC"/>
      <family val="1"/>
    </font>
    <font>
      <u/>
      <sz val="11"/>
      <color theme="10"/>
      <name val="Calibri"/>
      <family val="2"/>
      <scheme val="minor"/>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9D8FF"/>
        <bgColor indexed="64"/>
      </patternFill>
    </fill>
    <fill>
      <patternFill patternType="solid">
        <fgColor rgb="FFFF000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thin">
        <color theme="1"/>
      </right>
      <top style="medium">
        <color indexed="64"/>
      </top>
      <bottom/>
      <diagonal/>
    </border>
    <border>
      <left/>
      <right/>
      <top style="medium">
        <color indexed="64"/>
      </top>
      <bottom style="hair">
        <color rgb="FF00B0F0"/>
      </bottom>
      <diagonal/>
    </border>
    <border>
      <left style="hair">
        <color rgb="FF00B0F0"/>
      </left>
      <right/>
      <top style="medium">
        <color indexed="64"/>
      </top>
      <bottom style="hair">
        <color rgb="FF00B0F0"/>
      </bottom>
      <diagonal/>
    </border>
    <border>
      <left/>
      <right style="thin">
        <color theme="1"/>
      </right>
      <top style="medium">
        <color indexed="64"/>
      </top>
      <bottom style="hair">
        <color rgb="FF00B0F0"/>
      </bottom>
      <diagonal/>
    </border>
    <border>
      <left style="thin">
        <color theme="1"/>
      </left>
      <right/>
      <top style="medium">
        <color indexed="64"/>
      </top>
      <bottom style="hair">
        <color rgb="FF00B0F0"/>
      </bottom>
      <diagonal/>
    </border>
    <border>
      <left/>
      <right style="medium">
        <color indexed="64"/>
      </right>
      <top style="medium">
        <color indexed="64"/>
      </top>
      <bottom style="hair">
        <color rgb="FF00B0F0"/>
      </bottom>
      <diagonal/>
    </border>
    <border>
      <left style="medium">
        <color indexed="64"/>
      </left>
      <right/>
      <top/>
      <bottom/>
      <diagonal/>
    </border>
    <border>
      <left/>
      <right style="thin">
        <color theme="1"/>
      </right>
      <top/>
      <bottom/>
      <diagonal/>
    </border>
    <border>
      <left style="thin">
        <color theme="1"/>
      </left>
      <right/>
      <top style="hair">
        <color rgb="FF00B0F0"/>
      </top>
      <bottom style="hair">
        <color rgb="FF00B0F0"/>
      </bottom>
      <diagonal/>
    </border>
    <border>
      <left/>
      <right/>
      <top style="hair">
        <color rgb="FF00B0F0"/>
      </top>
      <bottom style="hair">
        <color rgb="FF00B0F0"/>
      </bottom>
      <diagonal/>
    </border>
    <border>
      <left/>
      <right style="hair">
        <color rgb="FF00B0F0"/>
      </right>
      <top style="hair">
        <color rgb="FF00B0F0"/>
      </top>
      <bottom style="hair">
        <color rgb="FF00B0F0"/>
      </bottom>
      <diagonal/>
    </border>
    <border>
      <left style="hair">
        <color rgb="FF00B0F0"/>
      </left>
      <right/>
      <top style="hair">
        <color rgb="FF00B0F0"/>
      </top>
      <bottom style="hair">
        <color rgb="FF00B0F0"/>
      </bottom>
      <diagonal/>
    </border>
    <border>
      <left/>
      <right style="thin">
        <color theme="1"/>
      </right>
      <top style="hair">
        <color rgb="FF00B0F0"/>
      </top>
      <bottom style="hair">
        <color rgb="FF00B0F0"/>
      </bottom>
      <diagonal/>
    </border>
    <border>
      <left/>
      <right style="medium">
        <color indexed="64"/>
      </right>
      <top style="hair">
        <color rgb="FF00B0F0"/>
      </top>
      <bottom style="hair">
        <color rgb="FF00B0F0"/>
      </bottom>
      <diagonal/>
    </border>
    <border>
      <left style="medium">
        <color indexed="64"/>
      </left>
      <right/>
      <top/>
      <bottom style="medium">
        <color indexed="64"/>
      </bottom>
      <diagonal/>
    </border>
    <border>
      <left/>
      <right/>
      <top/>
      <bottom style="medium">
        <color indexed="64"/>
      </bottom>
      <diagonal/>
    </border>
    <border>
      <left/>
      <right style="thin">
        <color theme="1"/>
      </right>
      <top/>
      <bottom style="medium">
        <color indexed="64"/>
      </bottom>
      <diagonal/>
    </border>
    <border>
      <left/>
      <right/>
      <top style="hair">
        <color rgb="FF00B0F0"/>
      </top>
      <bottom style="medium">
        <color indexed="64"/>
      </bottom>
      <diagonal/>
    </border>
    <border>
      <left/>
      <right style="hair">
        <color rgb="FF00B0F0"/>
      </right>
      <top style="hair">
        <color rgb="FF00B0F0"/>
      </top>
      <bottom style="medium">
        <color indexed="64"/>
      </bottom>
      <diagonal/>
    </border>
    <border>
      <left style="hair">
        <color rgb="FF00B0F0"/>
      </left>
      <right/>
      <top style="hair">
        <color rgb="FF00B0F0"/>
      </top>
      <bottom style="medium">
        <color indexed="64"/>
      </bottom>
      <diagonal/>
    </border>
    <border>
      <left/>
      <right style="thin">
        <color theme="1"/>
      </right>
      <top style="hair">
        <color rgb="FF00B0F0"/>
      </top>
      <bottom style="medium">
        <color indexed="64"/>
      </bottom>
      <diagonal/>
    </border>
    <border>
      <left style="thin">
        <color theme="1"/>
      </left>
      <right/>
      <top style="hair">
        <color rgb="FF00B0F0"/>
      </top>
      <bottom style="medium">
        <color indexed="64"/>
      </bottom>
      <diagonal/>
    </border>
    <border>
      <left/>
      <right style="medium">
        <color indexed="64"/>
      </right>
      <top style="hair">
        <color rgb="FF00B0F0"/>
      </top>
      <bottom style="medium">
        <color indexed="64"/>
      </bottom>
      <diagonal/>
    </border>
    <border>
      <left style="medium">
        <color indexed="64"/>
      </left>
      <right style="hair">
        <color rgb="FF00B0F0"/>
      </right>
      <top/>
      <bottom style="hair">
        <color rgb="FF00B0F0"/>
      </bottom>
      <diagonal/>
    </border>
    <border>
      <left style="hair">
        <color rgb="FF00B0F0"/>
      </left>
      <right style="hair">
        <color rgb="FF00B0F0"/>
      </right>
      <top/>
      <bottom style="hair">
        <color rgb="FF00B0F0"/>
      </bottom>
      <diagonal/>
    </border>
    <border>
      <left style="hair">
        <color rgb="FF00B0F0"/>
      </left>
      <right style="thin">
        <color theme="1"/>
      </right>
      <top/>
      <bottom style="hair">
        <color rgb="FF00B0F0"/>
      </bottom>
      <diagonal/>
    </border>
    <border>
      <left/>
      <right style="hair">
        <color rgb="FF00B0F0"/>
      </right>
      <top/>
      <bottom style="hair">
        <color rgb="FF00B0F0"/>
      </bottom>
      <diagonal/>
    </border>
    <border>
      <left style="hair">
        <color rgb="FF00B0F0"/>
      </left>
      <right/>
      <top/>
      <bottom style="hair">
        <color rgb="FF00B0F0"/>
      </bottom>
      <diagonal/>
    </border>
    <border>
      <left style="thin">
        <color theme="1"/>
      </left>
      <right style="hair">
        <color rgb="FF00B0F0"/>
      </right>
      <top/>
      <bottom style="hair">
        <color rgb="FF00B0F0"/>
      </bottom>
      <diagonal/>
    </border>
    <border>
      <left style="hair">
        <color rgb="FF00B0F0"/>
      </left>
      <right style="medium">
        <color indexed="64"/>
      </right>
      <top/>
      <bottom style="hair">
        <color rgb="FF00B0F0"/>
      </bottom>
      <diagonal/>
    </border>
    <border>
      <left style="medium">
        <color indexed="64"/>
      </left>
      <right style="hair">
        <color rgb="FF00B0F0"/>
      </right>
      <top style="hair">
        <color rgb="FF00B0F0"/>
      </top>
      <bottom style="hair">
        <color rgb="FF00B0F0"/>
      </bottom>
      <diagonal/>
    </border>
    <border>
      <left style="hair">
        <color rgb="FF00B0F0"/>
      </left>
      <right style="hair">
        <color rgb="FF00B0F0"/>
      </right>
      <top style="hair">
        <color rgb="FF00B0F0"/>
      </top>
      <bottom style="hair">
        <color rgb="FF00B0F0"/>
      </bottom>
      <diagonal/>
    </border>
    <border>
      <left style="hair">
        <color rgb="FF00B0F0"/>
      </left>
      <right style="thin">
        <color theme="1"/>
      </right>
      <top style="hair">
        <color rgb="FF00B0F0"/>
      </top>
      <bottom style="hair">
        <color rgb="FF00B0F0"/>
      </bottom>
      <diagonal/>
    </border>
    <border>
      <left style="thin">
        <color theme="1"/>
      </left>
      <right style="hair">
        <color rgb="FF00B0F0"/>
      </right>
      <top style="hair">
        <color rgb="FF00B0F0"/>
      </top>
      <bottom style="hair">
        <color rgb="FF00B0F0"/>
      </bottom>
      <diagonal/>
    </border>
    <border>
      <left style="hair">
        <color rgb="FF00B0F0"/>
      </left>
      <right style="medium">
        <color indexed="64"/>
      </right>
      <top style="hair">
        <color rgb="FF00B0F0"/>
      </top>
      <bottom style="hair">
        <color rgb="FF00B0F0"/>
      </bottom>
      <diagonal/>
    </border>
    <border>
      <left style="medium">
        <color indexed="64"/>
      </left>
      <right style="hair">
        <color rgb="FF00B0F0"/>
      </right>
      <top style="hair">
        <color rgb="FF00B0F0"/>
      </top>
      <bottom style="medium">
        <color indexed="64"/>
      </bottom>
      <diagonal/>
    </border>
    <border>
      <left style="hair">
        <color rgb="FF00B0F0"/>
      </left>
      <right style="hair">
        <color rgb="FF00B0F0"/>
      </right>
      <top style="hair">
        <color rgb="FF00B0F0"/>
      </top>
      <bottom style="medium">
        <color indexed="64"/>
      </bottom>
      <diagonal/>
    </border>
    <border>
      <left style="hair">
        <color rgb="FF00B0F0"/>
      </left>
      <right style="thin">
        <color theme="1"/>
      </right>
      <top style="hair">
        <color rgb="FF00B0F0"/>
      </top>
      <bottom style="medium">
        <color indexed="64"/>
      </bottom>
      <diagonal/>
    </border>
    <border>
      <left style="thin">
        <color theme="1"/>
      </left>
      <right style="hair">
        <color rgb="FF00B0F0"/>
      </right>
      <top style="hair">
        <color rgb="FF00B0F0"/>
      </top>
      <bottom style="medium">
        <color indexed="64"/>
      </bottom>
      <diagonal/>
    </border>
    <border>
      <left style="hair">
        <color rgb="FF00B0F0"/>
      </left>
      <right style="medium">
        <color indexed="64"/>
      </right>
      <top style="hair">
        <color rgb="FF00B0F0"/>
      </top>
      <bottom style="medium">
        <color indexed="64"/>
      </bottom>
      <diagonal/>
    </border>
    <border>
      <left style="hair">
        <color rgb="FF00B0F0"/>
      </left>
      <right/>
      <top style="medium">
        <color indexed="64"/>
      </top>
      <bottom/>
      <diagonal/>
    </border>
    <border>
      <left/>
      <right/>
      <top style="hair">
        <color rgb="FF00B0F0"/>
      </top>
      <bottom/>
      <diagonal/>
    </border>
    <border>
      <left/>
      <right/>
      <top/>
      <bottom style="hair">
        <color rgb="FF00B0F0"/>
      </bottom>
      <diagonal/>
    </border>
    <border>
      <left style="hair">
        <color rgb="FF00B0F0"/>
      </left>
      <right style="hair">
        <color rgb="FF00B0F0"/>
      </right>
      <top/>
      <bottom/>
      <diagonal/>
    </border>
    <border>
      <left style="medium">
        <color indexed="64"/>
      </left>
      <right/>
      <top style="hair">
        <color rgb="FF00B0F0"/>
      </top>
      <bottom style="hair">
        <color rgb="FF00B0F0"/>
      </bottom>
      <diagonal/>
    </border>
    <border>
      <left style="medium">
        <color indexed="64"/>
      </left>
      <right/>
      <top style="hair">
        <color rgb="FF00B0F0"/>
      </top>
      <bottom style="medium">
        <color indexed="64"/>
      </bottom>
      <diagonal/>
    </border>
    <border>
      <left/>
      <right style="medium">
        <color indexed="64"/>
      </right>
      <top/>
      <bottom style="hair">
        <color rgb="FF00B0F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rgb="FF00B0F0"/>
      </top>
      <bottom/>
      <diagonal/>
    </border>
    <border>
      <left/>
      <right style="medium">
        <color indexed="64"/>
      </right>
      <top/>
      <bottom/>
      <diagonal/>
    </border>
    <border>
      <left/>
      <right style="medium">
        <color indexed="64"/>
      </right>
      <top/>
      <bottom style="medium">
        <color indexed="64"/>
      </bottom>
      <diagonal/>
    </border>
    <border>
      <left/>
      <right style="medium">
        <color theme="1"/>
      </right>
      <top style="hair">
        <color rgb="FF00B0F0"/>
      </top>
      <bottom style="hair">
        <color rgb="FF00B0F0"/>
      </bottom>
      <diagonal/>
    </border>
    <border>
      <left style="hair">
        <color rgb="FF00B0F0"/>
      </left>
      <right style="hair">
        <color rgb="FF00B0F0"/>
      </right>
      <top/>
      <bottom style="medium">
        <color indexed="64"/>
      </bottom>
      <diagonal/>
    </border>
    <border>
      <left style="medium">
        <color indexed="64"/>
      </left>
      <right/>
      <top/>
      <bottom style="hair">
        <color rgb="FF00B0F0"/>
      </bottom>
      <diagonal/>
    </border>
    <border>
      <left style="medium">
        <color indexed="64"/>
      </left>
      <right/>
      <top style="medium">
        <color indexed="64"/>
      </top>
      <bottom style="hair">
        <color rgb="FF00B0F0"/>
      </bottom>
      <diagonal/>
    </border>
    <border>
      <left/>
      <right style="medium">
        <color indexed="64"/>
      </right>
      <top style="medium">
        <color indexed="64"/>
      </top>
      <bottom/>
      <diagonal/>
    </border>
    <border>
      <left style="hair">
        <color rgb="FF00B0F0"/>
      </left>
      <right/>
      <top style="medium">
        <color indexed="64"/>
      </top>
      <bottom style="medium">
        <color indexed="64"/>
      </bottom>
      <diagonal/>
    </border>
    <border>
      <left/>
      <right style="hair">
        <color rgb="FF00B0F0"/>
      </right>
      <top style="medium">
        <color indexed="64"/>
      </top>
      <bottom style="medium">
        <color indexed="64"/>
      </bottom>
      <diagonal/>
    </border>
    <border>
      <left style="hair">
        <color rgb="FF00B0F0"/>
      </left>
      <right/>
      <top style="hair">
        <color rgb="FF00B0F0"/>
      </top>
      <bottom/>
      <diagonal/>
    </border>
    <border>
      <left/>
      <right style="hair">
        <color rgb="FF00B0F0"/>
      </right>
      <top style="hair">
        <color rgb="FF00B0F0"/>
      </top>
      <bottom/>
      <diagonal/>
    </border>
    <border>
      <left/>
      <right style="hair">
        <color rgb="FF00B0F0"/>
      </right>
      <top style="medium">
        <color indexed="64"/>
      </top>
      <bottom style="hair">
        <color rgb="FF00B0F0"/>
      </bottom>
      <diagonal/>
    </border>
    <border>
      <left/>
      <right style="hair">
        <color rgb="FF00B0F0"/>
      </right>
      <top style="medium">
        <color indexed="64"/>
      </top>
      <bottom/>
      <diagonal/>
    </border>
    <border>
      <left style="hair">
        <color rgb="FF00B0F0"/>
      </left>
      <right style="hair">
        <color rgb="FF00B0F0"/>
      </right>
      <top style="medium">
        <color indexed="64"/>
      </top>
      <bottom style="hair">
        <color rgb="FF00B0F0"/>
      </bottom>
      <diagonal/>
    </border>
    <border>
      <left style="hair">
        <color rgb="FF00B0F0"/>
      </left>
      <right/>
      <top/>
      <bottom/>
      <diagonal/>
    </border>
    <border>
      <left/>
      <right style="hair">
        <color rgb="FF00B0F0"/>
      </right>
      <top/>
      <bottom/>
      <diagonal/>
    </border>
    <border>
      <left style="hair">
        <color rgb="FF00B0F0"/>
      </left>
      <right style="hair">
        <color rgb="FF00B0F0"/>
      </right>
      <top style="hair">
        <color rgb="FF00B0F0"/>
      </top>
      <bottom/>
      <diagonal/>
    </border>
  </borders>
  <cellStyleXfs count="2">
    <xf numFmtId="0" fontId="0" fillId="0" borderId="0"/>
    <xf numFmtId="0" fontId="18" fillId="0" borderId="0" applyNumberFormat="0" applyFill="0" applyBorder="0" applyAlignment="0" applyProtection="0"/>
  </cellStyleXfs>
  <cellXfs count="285">
    <xf numFmtId="0" fontId="0" fillId="0" borderId="0" xfId="0"/>
    <xf numFmtId="0" fontId="1" fillId="3" borderId="0" xfId="0" applyFont="1" applyFill="1" applyBorder="1"/>
    <xf numFmtId="0" fontId="2" fillId="3" borderId="26" xfId="0" applyFont="1" applyFill="1" applyBorder="1"/>
    <xf numFmtId="0" fontId="2" fillId="3" borderId="27" xfId="0" applyFont="1" applyFill="1" applyBorder="1"/>
    <xf numFmtId="0" fontId="2" fillId="3" borderId="28" xfId="0" applyFont="1" applyFill="1" applyBorder="1"/>
    <xf numFmtId="0" fontId="2" fillId="3" borderId="29" xfId="0" applyFont="1" applyFill="1" applyBorder="1"/>
    <xf numFmtId="0" fontId="2" fillId="3" borderId="30" xfId="0" applyFont="1" applyFill="1" applyBorder="1"/>
    <xf numFmtId="0" fontId="2" fillId="3" borderId="31" xfId="0" applyFont="1" applyFill="1" applyBorder="1"/>
    <xf numFmtId="0" fontId="2" fillId="3" borderId="32" xfId="0" applyFont="1" applyFill="1" applyBorder="1"/>
    <xf numFmtId="0" fontId="2" fillId="3" borderId="33" xfId="0" applyFont="1" applyFill="1" applyBorder="1"/>
    <xf numFmtId="0" fontId="2" fillId="3" borderId="34" xfId="0" applyFont="1" applyFill="1" applyBorder="1"/>
    <xf numFmtId="0" fontId="2" fillId="3" borderId="35" xfId="0" applyFont="1" applyFill="1" applyBorder="1"/>
    <xf numFmtId="0" fontId="2" fillId="3" borderId="13" xfId="0" applyFont="1" applyFill="1" applyBorder="1"/>
    <xf numFmtId="0" fontId="2" fillId="3" borderId="14" xfId="0" applyFont="1" applyFill="1" applyBorder="1"/>
    <xf numFmtId="0" fontId="2" fillId="3" borderId="36" xfId="0" applyFont="1" applyFill="1" applyBorder="1"/>
    <xf numFmtId="0" fontId="2" fillId="3" borderId="37" xfId="0" applyFont="1" applyFill="1" applyBorder="1"/>
    <xf numFmtId="0" fontId="2" fillId="3" borderId="38" xfId="0" applyFont="1" applyFill="1" applyBorder="1"/>
    <xf numFmtId="0" fontId="2" fillId="3" borderId="39" xfId="0" applyFont="1" applyFill="1" applyBorder="1"/>
    <xf numFmtId="0" fontId="2" fillId="3" borderId="40" xfId="0" applyFont="1" applyFill="1" applyBorder="1"/>
    <xf numFmtId="0" fontId="2" fillId="3" borderId="21" xfId="0" applyFont="1" applyFill="1" applyBorder="1"/>
    <xf numFmtId="0" fontId="2" fillId="3" borderId="22" xfId="0" applyFont="1" applyFill="1" applyBorder="1"/>
    <xf numFmtId="0" fontId="2" fillId="3" borderId="41" xfId="0" applyFont="1" applyFill="1" applyBorder="1"/>
    <xf numFmtId="0" fontId="2" fillId="3" borderId="42" xfId="0" applyFont="1" applyFill="1" applyBorder="1"/>
    <xf numFmtId="0" fontId="2" fillId="3" borderId="12" xfId="0" applyFont="1" applyFill="1" applyBorder="1"/>
    <xf numFmtId="0" fontId="2" fillId="3" borderId="46" xfId="0" applyFont="1" applyFill="1" applyBorder="1"/>
    <xf numFmtId="0" fontId="0" fillId="0" borderId="0" xfId="0"/>
    <xf numFmtId="0" fontId="0" fillId="0" borderId="0" xfId="0"/>
    <xf numFmtId="0" fontId="0" fillId="0" borderId="0" xfId="0"/>
    <xf numFmtId="0" fontId="0" fillId="0" borderId="0" xfId="0"/>
    <xf numFmtId="0" fontId="0" fillId="0" borderId="0" xfId="0"/>
    <xf numFmtId="3" fontId="1" fillId="3" borderId="0" xfId="0" applyNumberFormat="1" applyFont="1" applyFill="1" applyBorder="1"/>
    <xf numFmtId="0" fontId="4" fillId="3" borderId="0" xfId="0" applyFont="1" applyFill="1" applyBorder="1" applyAlignment="1"/>
    <xf numFmtId="0" fontId="1" fillId="3" borderId="0" xfId="0" applyFont="1" applyFill="1" applyBorder="1" applyAlignment="1"/>
    <xf numFmtId="0" fontId="2" fillId="3" borderId="0" xfId="0" applyFont="1" applyFill="1" applyBorder="1"/>
    <xf numFmtId="0" fontId="2" fillId="3" borderId="14" xfId="0" applyFont="1" applyFill="1" applyBorder="1" applyAlignment="1"/>
    <xf numFmtId="0" fontId="2" fillId="3" borderId="22" xfId="0" applyFont="1" applyFill="1" applyBorder="1" applyAlignment="1"/>
    <xf numFmtId="0" fontId="2" fillId="3" borderId="14" xfId="0" applyFont="1" applyFill="1" applyBorder="1" applyAlignment="1"/>
    <xf numFmtId="0" fontId="2" fillId="3" borderId="27" xfId="0" applyFont="1" applyFill="1" applyBorder="1" applyAlignment="1"/>
    <xf numFmtId="0" fontId="2" fillId="3" borderId="46" xfId="0" applyFont="1" applyFill="1" applyBorder="1" applyAlignment="1"/>
    <xf numFmtId="0" fontId="2" fillId="3" borderId="12" xfId="0" applyFont="1" applyFill="1" applyBorder="1" applyAlignment="1"/>
    <xf numFmtId="0" fontId="2" fillId="3" borderId="13" xfId="0" applyFont="1" applyFill="1" applyBorder="1" applyAlignment="1"/>
    <xf numFmtId="0" fontId="2" fillId="3" borderId="34" xfId="0" applyFont="1" applyFill="1" applyBorder="1" applyAlignment="1"/>
    <xf numFmtId="0" fontId="2" fillId="3" borderId="36" xfId="0" applyFont="1" applyFill="1" applyBorder="1" applyAlignment="1"/>
    <xf numFmtId="0" fontId="2" fillId="3" borderId="37" xfId="0" applyFont="1" applyFill="1" applyBorder="1" applyAlignment="1"/>
    <xf numFmtId="0" fontId="2" fillId="3" borderId="20" xfId="0" applyFont="1" applyFill="1" applyBorder="1" applyAlignment="1"/>
    <xf numFmtId="0" fontId="2" fillId="3" borderId="57" xfId="0" applyFont="1" applyFill="1" applyBorder="1" applyAlignment="1"/>
    <xf numFmtId="0" fontId="2" fillId="3" borderId="39" xfId="0" applyFont="1" applyFill="1" applyBorder="1" applyAlignment="1"/>
    <xf numFmtId="0" fontId="2" fillId="3" borderId="41" xfId="0" applyFont="1" applyFill="1" applyBorder="1" applyAlignment="1"/>
    <xf numFmtId="0" fontId="2" fillId="3" borderId="42" xfId="0" applyFont="1" applyFill="1" applyBorder="1" applyAlignment="1"/>
    <xf numFmtId="0" fontId="0" fillId="2" borderId="0" xfId="0" applyFill="1"/>
    <xf numFmtId="0" fontId="0" fillId="0" borderId="0" xfId="0" applyAlignment="1">
      <alignment horizontal="center"/>
    </xf>
    <xf numFmtId="0" fontId="0" fillId="0" borderId="0" xfId="0" applyFill="1"/>
    <xf numFmtId="0" fontId="0" fillId="0" borderId="0" xfId="0" applyFill="1" applyAlignment="1">
      <alignment horizontal="center"/>
    </xf>
    <xf numFmtId="0" fontId="0" fillId="0" borderId="0" xfId="0" applyAlignment="1"/>
    <xf numFmtId="0" fontId="2" fillId="3" borderId="0" xfId="0" applyFont="1" applyFill="1" applyBorder="1" applyAlignment="1"/>
    <xf numFmtId="0" fontId="2" fillId="3" borderId="12" xfId="0" applyFont="1" applyFill="1" applyBorder="1" applyAlignment="1"/>
    <xf numFmtId="0" fontId="0" fillId="5" borderId="0" xfId="0" applyFill="1"/>
    <xf numFmtId="0" fontId="2" fillId="3" borderId="14" xfId="0" applyFont="1" applyFill="1" applyBorder="1" applyAlignment="1"/>
    <xf numFmtId="0" fontId="2" fillId="3" borderId="12" xfId="0" applyFont="1" applyFill="1" applyBorder="1" applyAlignment="1"/>
    <xf numFmtId="0" fontId="0" fillId="0" borderId="0" xfId="0" applyFill="1" applyAlignment="1"/>
    <xf numFmtId="0" fontId="2" fillId="0" borderId="0" xfId="0" applyFont="1" applyFill="1" applyBorder="1"/>
    <xf numFmtId="0" fontId="14" fillId="3" borderId="11" xfId="0" applyFont="1" applyFill="1" applyBorder="1" applyAlignment="1">
      <alignment horizontal="center"/>
    </xf>
    <xf numFmtId="0" fontId="2" fillId="4" borderId="27" xfId="0" applyFont="1" applyFill="1" applyBorder="1" applyAlignment="1"/>
    <xf numFmtId="0" fontId="2" fillId="4" borderId="67" xfId="0" applyFont="1" applyFill="1" applyBorder="1" applyAlignment="1"/>
    <xf numFmtId="0" fontId="2" fillId="4" borderId="57" xfId="0" applyFont="1" applyFill="1" applyBorder="1" applyAlignment="1"/>
    <xf numFmtId="0" fontId="1" fillId="0" borderId="0" xfId="0" applyFont="1" applyFill="1" applyBorder="1"/>
    <xf numFmtId="3" fontId="2" fillId="3" borderId="0" xfId="0" applyNumberFormat="1" applyFont="1" applyFill="1" applyBorder="1" applyAlignment="1"/>
    <xf numFmtId="0" fontId="2" fillId="3" borderId="14" xfId="0" applyFont="1" applyFill="1" applyBorder="1" applyAlignment="1"/>
    <xf numFmtId="0" fontId="2" fillId="3" borderId="13" xfId="0" applyFont="1" applyFill="1" applyBorder="1" applyAlignment="1"/>
    <xf numFmtId="0" fontId="2" fillId="3" borderId="22" xfId="0" applyFont="1" applyFill="1" applyBorder="1" applyAlignment="1"/>
    <xf numFmtId="0" fontId="2" fillId="3" borderId="12" xfId="0" applyFont="1" applyFill="1" applyBorder="1" applyAlignment="1"/>
    <xf numFmtId="0" fontId="2" fillId="4" borderId="48" xfId="0" applyFont="1" applyFill="1" applyBorder="1" applyAlignment="1"/>
    <xf numFmtId="0" fontId="2" fillId="4" borderId="20" xfId="0" applyFont="1" applyFill="1" applyBorder="1" applyAlignment="1"/>
    <xf numFmtId="0" fontId="2" fillId="4" borderId="21" xfId="0" applyFont="1" applyFill="1" applyBorder="1" applyAlignment="1"/>
    <xf numFmtId="0" fontId="0" fillId="4" borderId="63" xfId="0" applyFill="1" applyBorder="1" applyAlignment="1"/>
    <xf numFmtId="0" fontId="0" fillId="4" borderId="64" xfId="0" applyFill="1" applyBorder="1" applyAlignment="1"/>
    <xf numFmtId="0" fontId="0" fillId="4" borderId="22" xfId="0" applyFill="1" applyBorder="1" applyAlignment="1"/>
    <xf numFmtId="0" fontId="0" fillId="4" borderId="21" xfId="0" applyFill="1" applyBorder="1" applyAlignment="1"/>
    <xf numFmtId="0" fontId="0" fillId="4" borderId="43" xfId="0" applyFill="1" applyBorder="1" applyAlignment="1"/>
    <xf numFmtId="0" fontId="0" fillId="4" borderId="66" xfId="0" applyFill="1" applyBorder="1" applyAlignment="1"/>
    <xf numFmtId="0" fontId="2" fillId="4" borderId="59" xfId="0" applyFont="1" applyFill="1" applyBorder="1" applyAlignment="1"/>
    <xf numFmtId="0" fontId="2" fillId="4" borderId="4" xfId="0" applyFont="1" applyFill="1" applyBorder="1" applyAlignment="1"/>
    <xf numFmtId="0" fontId="2" fillId="4" borderId="65" xfId="0" applyFont="1" applyFill="1" applyBorder="1" applyAlignment="1"/>
    <xf numFmtId="0" fontId="2" fillId="4" borderId="47" xfId="0" applyFont="1" applyFill="1" applyBorder="1" applyAlignment="1"/>
    <xf numFmtId="0" fontId="2" fillId="4" borderId="12" xfId="0" applyFont="1" applyFill="1" applyBorder="1" applyAlignment="1"/>
    <xf numFmtId="0" fontId="2" fillId="4" borderId="13" xfId="0" applyFont="1" applyFill="1" applyBorder="1" applyAlignment="1"/>
    <xf numFmtId="0" fontId="0" fillId="0" borderId="20" xfId="0" applyBorder="1" applyAlignment="1"/>
    <xf numFmtId="0" fontId="0" fillId="0" borderId="25" xfId="0" applyBorder="1" applyAlignment="1"/>
    <xf numFmtId="0" fontId="0" fillId="0" borderId="51" xfId="0" applyBorder="1" applyAlignment="1"/>
    <xf numFmtId="0" fontId="0" fillId="0" borderId="52" xfId="0" applyBorder="1" applyAlignment="1"/>
    <xf numFmtId="0" fontId="2" fillId="4" borderId="50" xfId="0" applyFont="1" applyFill="1" applyBorder="1" applyAlignment="1"/>
    <xf numFmtId="0" fontId="2" fillId="2" borderId="50" xfId="0" applyFont="1" applyFill="1" applyBorder="1" applyAlignment="1"/>
    <xf numFmtId="0" fontId="2" fillId="4" borderId="16" xfId="0" applyFont="1" applyFill="1" applyBorder="1" applyAlignment="1"/>
    <xf numFmtId="0" fontId="2" fillId="4" borderId="17" xfId="0" applyFont="1" applyFill="1" applyBorder="1" applyAlignment="1"/>
    <xf numFmtId="0" fontId="2" fillId="4" borderId="18" xfId="0" applyFont="1" applyFill="1" applyBorder="1" applyAlignment="1"/>
    <xf numFmtId="0" fontId="2" fillId="4" borderId="55" xfId="0" applyFont="1" applyFill="1" applyBorder="1" applyAlignment="1"/>
    <xf numFmtId="0" fontId="1" fillId="3" borderId="11" xfId="0" applyFont="1" applyFill="1" applyBorder="1" applyAlignment="1"/>
    <xf numFmtId="0" fontId="1" fillId="3" borderId="12" xfId="0" applyFont="1" applyFill="1" applyBorder="1" applyAlignment="1"/>
    <xf numFmtId="0" fontId="1" fillId="3" borderId="16" xfId="0" applyFont="1" applyFill="1" applyBorder="1" applyAlignment="1"/>
    <xf numFmtId="0" fontId="2" fillId="3" borderId="11" xfId="0" applyFont="1" applyFill="1" applyBorder="1" applyAlignment="1"/>
    <xf numFmtId="0" fontId="1" fillId="0" borderId="12" xfId="0" applyFont="1" applyBorder="1" applyAlignment="1"/>
    <xf numFmtId="0" fontId="1" fillId="0" borderId="15" xfId="0" applyFont="1" applyBorder="1" applyAlignment="1"/>
    <xf numFmtId="0" fontId="3" fillId="3" borderId="11" xfId="0" applyFont="1" applyFill="1" applyBorder="1" applyAlignment="1"/>
    <xf numFmtId="0" fontId="4" fillId="3" borderId="12" xfId="0" applyFont="1" applyFill="1" applyBorder="1" applyAlignment="1"/>
    <xf numFmtId="0" fontId="4" fillId="3" borderId="16" xfId="0" applyFont="1" applyFill="1" applyBorder="1" applyAlignment="1"/>
    <xf numFmtId="0" fontId="3" fillId="3" borderId="20" xfId="0" applyFont="1" applyFill="1" applyBorder="1" applyAlignment="1"/>
    <xf numFmtId="0" fontId="4" fillId="3" borderId="20" xfId="0" applyFont="1" applyFill="1" applyBorder="1" applyAlignment="1"/>
    <xf numFmtId="0" fontId="4" fillId="3" borderId="21" xfId="0" applyFont="1" applyFill="1" applyBorder="1" applyAlignment="1"/>
    <xf numFmtId="0" fontId="2" fillId="3" borderId="22" xfId="0" applyFont="1" applyFill="1" applyBorder="1" applyAlignment="1"/>
    <xf numFmtId="0" fontId="1" fillId="0" borderId="20" xfId="0" applyFont="1" applyBorder="1" applyAlignment="1"/>
    <xf numFmtId="0" fontId="1" fillId="0" borderId="21" xfId="0" applyFont="1" applyBorder="1" applyAlignment="1"/>
    <xf numFmtId="0" fontId="3" fillId="3" borderId="22" xfId="0" applyFont="1" applyFill="1" applyBorder="1" applyAlignment="1"/>
    <xf numFmtId="0" fontId="3" fillId="3" borderId="21" xfId="0" applyFont="1" applyFill="1" applyBorder="1" applyAlignment="1"/>
    <xf numFmtId="0" fontId="1" fillId="3" borderId="22" xfId="0" applyFont="1" applyFill="1" applyBorder="1" applyAlignment="1"/>
    <xf numFmtId="0" fontId="1" fillId="3" borderId="20" xfId="0" applyFont="1" applyFill="1" applyBorder="1" applyAlignment="1"/>
    <xf numFmtId="0" fontId="1" fillId="3" borderId="23" xfId="0" applyFont="1" applyFill="1" applyBorder="1" applyAlignment="1"/>
    <xf numFmtId="0" fontId="1" fillId="3" borderId="24" xfId="0" applyFont="1" applyFill="1" applyBorder="1" applyAlignment="1"/>
    <xf numFmtId="0" fontId="1" fillId="3" borderId="25" xfId="0" applyFont="1" applyFill="1" applyBorder="1" applyAlignment="1"/>
    <xf numFmtId="0" fontId="2" fillId="3" borderId="30" xfId="0" applyFont="1" applyFill="1" applyBorder="1" applyAlignment="1"/>
    <xf numFmtId="0" fontId="2" fillId="3" borderId="45" xfId="0" applyFont="1" applyFill="1" applyBorder="1" applyAlignment="1"/>
    <xf numFmtId="0" fontId="0" fillId="0" borderId="45" xfId="0" applyBorder="1" applyAlignment="1"/>
    <xf numFmtId="0" fontId="0" fillId="0" borderId="29" xfId="0" applyBorder="1" applyAlignment="1"/>
    <xf numFmtId="3" fontId="5" fillId="3" borderId="14" xfId="0" applyNumberFormat="1" applyFont="1" applyFill="1" applyBorder="1" applyAlignment="1"/>
    <xf numFmtId="3" fontId="10" fillId="0" borderId="12" xfId="0" applyNumberFormat="1" applyFont="1" applyBorder="1" applyAlignment="1"/>
    <xf numFmtId="3" fontId="10" fillId="0" borderId="13" xfId="0" applyNumberFormat="1" applyFont="1" applyBorder="1" applyAlignment="1"/>
    <xf numFmtId="0" fontId="2" fillId="3" borderId="14" xfId="0" applyFont="1" applyFill="1" applyBorder="1" applyAlignment="1"/>
    <xf numFmtId="0" fontId="2" fillId="3" borderId="13" xfId="0" applyFont="1" applyFill="1" applyBorder="1" applyAlignment="1"/>
    <xf numFmtId="0" fontId="7" fillId="3" borderId="11" xfId="0" applyFont="1" applyFill="1" applyBorder="1" applyAlignment="1">
      <alignment horizontal="center"/>
    </xf>
    <xf numFmtId="0" fontId="6" fillId="0" borderId="12" xfId="0" applyFont="1" applyBorder="1" applyAlignment="1">
      <alignment horizontal="center"/>
    </xf>
    <xf numFmtId="0" fontId="6" fillId="0" borderId="56" xfId="0" applyFont="1" applyBorder="1" applyAlignment="1">
      <alignment horizontal="center"/>
    </xf>
    <xf numFmtId="0" fontId="2" fillId="4" borderId="8" xfId="0" applyFont="1" applyFill="1" applyBorder="1" applyAlignment="1"/>
    <xf numFmtId="0" fontId="2" fillId="4" borderId="51" xfId="0" applyFont="1" applyFill="1" applyBorder="1" applyAlignment="1"/>
    <xf numFmtId="0" fontId="2" fillId="4" borderId="52" xfId="0" applyFont="1" applyFill="1" applyBorder="1" applyAlignment="1"/>
    <xf numFmtId="0" fontId="2" fillId="2" borderId="51" xfId="0" applyFont="1" applyFill="1" applyBorder="1" applyAlignment="1"/>
    <xf numFmtId="0" fontId="2" fillId="2" borderId="52" xfId="0" applyFont="1" applyFill="1" applyBorder="1" applyAlignment="1"/>
    <xf numFmtId="0" fontId="5" fillId="3" borderId="14" xfId="0" applyFont="1" applyFill="1" applyBorder="1" applyAlignment="1"/>
    <xf numFmtId="0" fontId="0" fillId="0" borderId="12" xfId="0" applyBorder="1" applyAlignment="1"/>
    <xf numFmtId="0" fontId="0" fillId="0" borderId="13" xfId="0" applyBorder="1" applyAlignment="1"/>
    <xf numFmtId="0" fontId="2" fillId="3" borderId="12" xfId="0" applyFont="1" applyFill="1" applyBorder="1" applyAlignment="1"/>
    <xf numFmtId="0" fontId="0" fillId="0" borderId="4" xfId="0" applyBorder="1" applyAlignment="1"/>
    <xf numFmtId="0" fontId="0" fillId="0" borderId="8" xfId="0" applyBorder="1" applyAlignment="1"/>
    <xf numFmtId="0" fontId="2" fillId="2" borderId="50" xfId="0" applyFont="1" applyFill="1" applyBorder="1" applyAlignment="1">
      <alignment horizontal="center"/>
    </xf>
    <xf numFmtId="0" fontId="0" fillId="2" borderId="51" xfId="0" applyFill="1" applyBorder="1" applyAlignment="1">
      <alignment horizontal="center"/>
    </xf>
    <xf numFmtId="0" fontId="0" fillId="2" borderId="52" xfId="0" applyFill="1" applyBorder="1" applyAlignment="1">
      <alignment horizontal="center"/>
    </xf>
    <xf numFmtId="0" fontId="2" fillId="4" borderId="58" xfId="0" applyFont="1" applyFill="1" applyBorder="1" applyAlignment="1"/>
    <xf numFmtId="0" fontId="2" fillId="4" borderId="45" xfId="0" applyFont="1" applyFill="1" applyBorder="1" applyAlignment="1"/>
    <xf numFmtId="0" fontId="2" fillId="3" borderId="1" xfId="0" applyFont="1" applyFill="1" applyBorder="1" applyAlignment="1">
      <alignment wrapText="1"/>
    </xf>
    <xf numFmtId="0" fontId="1" fillId="0" borderId="2" xfId="0" applyFont="1" applyBorder="1" applyAlignment="1"/>
    <xf numFmtId="0" fontId="1" fillId="0" borderId="3" xfId="0" applyFont="1" applyBorder="1" applyAlignment="1"/>
    <xf numFmtId="0" fontId="1" fillId="0" borderId="9" xfId="0" applyFont="1" applyBorder="1" applyAlignment="1"/>
    <xf numFmtId="0" fontId="1" fillId="0" borderId="0" xfId="0" applyFont="1" applyBorder="1" applyAlignment="1"/>
    <xf numFmtId="0" fontId="1" fillId="0" borderId="10" xfId="0" applyFont="1" applyBorder="1" applyAlignment="1"/>
    <xf numFmtId="0" fontId="1" fillId="0" borderId="17" xfId="0" applyFont="1" applyBorder="1" applyAlignment="1"/>
    <xf numFmtId="0" fontId="1" fillId="0" borderId="18" xfId="0" applyFont="1" applyBorder="1" applyAlignment="1"/>
    <xf numFmtId="0" fontId="1" fillId="0" borderId="19" xfId="0" applyFont="1" applyBorder="1" applyAlignment="1"/>
    <xf numFmtId="0" fontId="3" fillId="3" borderId="4" xfId="0" applyFont="1" applyFill="1" applyBorder="1" applyAlignment="1"/>
    <xf numFmtId="0" fontId="4" fillId="3" borderId="4" xfId="0" applyFont="1" applyFill="1" applyBorder="1" applyAlignment="1"/>
    <xf numFmtId="0" fontId="1" fillId="3" borderId="5" xfId="0" applyFont="1" applyFill="1" applyBorder="1" applyAlignment="1"/>
    <xf numFmtId="0" fontId="1" fillId="0" borderId="4" xfId="0" applyFont="1" applyBorder="1" applyAlignment="1"/>
    <xf numFmtId="0" fontId="1" fillId="0" borderId="6" xfId="0" applyFont="1" applyBorder="1" applyAlignment="1"/>
    <xf numFmtId="0" fontId="3" fillId="3" borderId="7" xfId="0" applyFont="1" applyFill="1" applyBorder="1" applyAlignment="1"/>
    <xf numFmtId="0" fontId="4" fillId="3" borderId="8" xfId="0" applyFont="1" applyFill="1" applyBorder="1" applyAlignment="1"/>
    <xf numFmtId="0" fontId="1" fillId="0" borderId="13" xfId="0" applyFont="1" applyBorder="1" applyAlignment="1"/>
    <xf numFmtId="0" fontId="1" fillId="3" borderId="14" xfId="0" applyFont="1" applyFill="1" applyBorder="1" applyAlignment="1"/>
    <xf numFmtId="0" fontId="1" fillId="3" borderId="15" xfId="0" applyFont="1" applyFill="1" applyBorder="1" applyAlignment="1"/>
    <xf numFmtId="0" fontId="1" fillId="3" borderId="43" xfId="0" applyFont="1" applyFill="1" applyBorder="1" applyAlignment="1"/>
    <xf numFmtId="0" fontId="12" fillId="4" borderId="2" xfId="0" applyFont="1" applyFill="1" applyBorder="1" applyAlignment="1"/>
    <xf numFmtId="0" fontId="13" fillId="4" borderId="60" xfId="0" applyFont="1" applyFill="1" applyBorder="1" applyAlignment="1"/>
    <xf numFmtId="0" fontId="12" fillId="4" borderId="48" xfId="0" applyFont="1" applyFill="1" applyBorder="1" applyAlignment="1"/>
    <xf numFmtId="0" fontId="13" fillId="4" borderId="25" xfId="0" applyFont="1" applyFill="1" applyBorder="1" applyAlignment="1"/>
    <xf numFmtId="0" fontId="0" fillId="0" borderId="15" xfId="0" applyBorder="1" applyAlignment="1"/>
    <xf numFmtId="0" fontId="2" fillId="4" borderId="53" xfId="0" applyFont="1" applyFill="1" applyBorder="1" applyAlignment="1"/>
    <xf numFmtId="0" fontId="0" fillId="4" borderId="44" xfId="0" applyFill="1" applyBorder="1" applyAlignment="1"/>
    <xf numFmtId="0" fontId="2" fillId="4" borderId="0" xfId="0" applyFont="1" applyFill="1" applyBorder="1" applyAlignment="1"/>
    <xf numFmtId="0" fontId="0" fillId="4" borderId="0" xfId="0" applyFill="1" applyBorder="1" applyAlignment="1"/>
    <xf numFmtId="0" fontId="0" fillId="4" borderId="54" xfId="0" applyFill="1" applyBorder="1" applyAlignment="1"/>
    <xf numFmtId="0" fontId="0" fillId="4" borderId="51" xfId="0" applyFill="1" applyBorder="1" applyAlignment="1"/>
    <xf numFmtId="0" fontId="0" fillId="4" borderId="52" xfId="0" applyFill="1" applyBorder="1" applyAlignment="1"/>
    <xf numFmtId="0" fontId="2" fillId="4" borderId="44" xfId="0" applyFont="1" applyFill="1" applyBorder="1" applyAlignment="1"/>
    <xf numFmtId="0" fontId="8" fillId="4" borderId="0" xfId="0" applyFont="1" applyFill="1" applyBorder="1" applyAlignment="1"/>
    <xf numFmtId="0" fontId="1" fillId="4" borderId="0" xfId="0" applyFont="1" applyFill="1" applyBorder="1" applyAlignment="1"/>
    <xf numFmtId="0" fontId="0" fillId="4" borderId="18" xfId="0" applyFill="1" applyBorder="1" applyAlignment="1"/>
    <xf numFmtId="0" fontId="0" fillId="4" borderId="55" xfId="0" applyFill="1" applyBorder="1" applyAlignment="1"/>
    <xf numFmtId="0" fontId="2" fillId="4" borderId="9" xfId="0" applyFont="1" applyFill="1" applyBorder="1" applyAlignment="1"/>
    <xf numFmtId="0" fontId="0" fillId="4" borderId="20" xfId="0" applyFill="1" applyBorder="1" applyAlignment="1"/>
    <xf numFmtId="3" fontId="2" fillId="2" borderId="50" xfId="0" applyNumberFormat="1" applyFont="1" applyFill="1" applyBorder="1" applyAlignment="1">
      <alignment horizontal="center"/>
    </xf>
    <xf numFmtId="3" fontId="0" fillId="2" borderId="51" xfId="0" applyNumberFormat="1" applyFill="1" applyBorder="1" applyAlignment="1">
      <alignment horizontal="center"/>
    </xf>
    <xf numFmtId="3" fontId="0" fillId="2" borderId="52" xfId="0" applyNumberFormat="1" applyFill="1" applyBorder="1" applyAlignment="1">
      <alignment horizontal="center"/>
    </xf>
    <xf numFmtId="0" fontId="2" fillId="4" borderId="61" xfId="0" applyFont="1" applyFill="1" applyBorder="1" applyAlignment="1"/>
    <xf numFmtId="0" fontId="2" fillId="4" borderId="62" xfId="0" applyFont="1" applyFill="1" applyBorder="1" applyAlignment="1"/>
    <xf numFmtId="0" fontId="2" fillId="4" borderId="22" xfId="0" applyFont="1" applyFill="1" applyBorder="1" applyAlignment="1"/>
    <xf numFmtId="0" fontId="2" fillId="4" borderId="25" xfId="0" applyFont="1" applyFill="1" applyBorder="1" applyAlignment="1"/>
    <xf numFmtId="0" fontId="2" fillId="4" borderId="49" xfId="0" applyFont="1" applyFill="1" applyBorder="1" applyAlignment="1"/>
    <xf numFmtId="0" fontId="2" fillId="4" borderId="5" xfId="0" applyFont="1" applyFill="1" applyBorder="1" applyAlignment="1"/>
    <xf numFmtId="0" fontId="0" fillId="4" borderId="4" xfId="0" applyFill="1" applyBorder="1" applyAlignment="1"/>
    <xf numFmtId="0" fontId="0" fillId="4" borderId="65" xfId="0" applyFill="1" applyBorder="1" applyAlignment="1"/>
    <xf numFmtId="0" fontId="2" fillId="4" borderId="14" xfId="0" applyFont="1" applyFill="1" applyBorder="1" applyAlignment="1"/>
    <xf numFmtId="0" fontId="0" fillId="4" borderId="12" xfId="0" applyFill="1" applyBorder="1" applyAlignment="1"/>
    <xf numFmtId="0" fontId="0" fillId="4" borderId="13" xfId="0" applyFill="1" applyBorder="1" applyAlignment="1"/>
    <xf numFmtId="0" fontId="0" fillId="4" borderId="8" xfId="0" applyFill="1" applyBorder="1" applyAlignment="1"/>
    <xf numFmtId="0" fontId="0" fillId="4" borderId="16" xfId="0" applyFill="1" applyBorder="1" applyAlignment="1"/>
    <xf numFmtId="0" fontId="0" fillId="4" borderId="25" xfId="0" applyFill="1" applyBorder="1" applyAlignment="1"/>
    <xf numFmtId="2" fontId="14" fillId="3" borderId="12" xfId="0" applyNumberFormat="1" applyFont="1" applyFill="1" applyBorder="1" applyAlignment="1">
      <alignment horizontal="left"/>
    </xf>
    <xf numFmtId="0" fontId="14" fillId="3" borderId="12" xfId="0" applyFont="1" applyFill="1" applyBorder="1" applyAlignment="1"/>
    <xf numFmtId="0" fontId="15" fillId="0" borderId="16" xfId="0" applyFont="1" applyBorder="1" applyAlignment="1"/>
    <xf numFmtId="0" fontId="14" fillId="3" borderId="11" xfId="0" applyFont="1" applyFill="1" applyBorder="1" applyAlignment="1">
      <alignment horizontal="right"/>
    </xf>
    <xf numFmtId="0" fontId="15" fillId="0" borderId="12" xfId="0" applyFont="1" applyBorder="1" applyAlignment="1">
      <alignment horizontal="right"/>
    </xf>
    <xf numFmtId="0" fontId="14" fillId="3" borderId="12" xfId="0" applyFont="1" applyFill="1" applyBorder="1" applyAlignment="1">
      <alignment horizontal="left"/>
    </xf>
    <xf numFmtId="0" fontId="15" fillId="0" borderId="16" xfId="0" applyFont="1" applyBorder="1" applyAlignment="1">
      <alignment horizontal="left"/>
    </xf>
    <xf numFmtId="0" fontId="16" fillId="4" borderId="18" xfId="0" applyFont="1" applyFill="1" applyBorder="1" applyAlignment="1"/>
    <xf numFmtId="0" fontId="16" fillId="4" borderId="55" xfId="0" applyFont="1" applyFill="1" applyBorder="1" applyAlignment="1"/>
    <xf numFmtId="0" fontId="17" fillId="3" borderId="18" xfId="0" applyFont="1" applyFill="1" applyBorder="1" applyAlignment="1"/>
    <xf numFmtId="0" fontId="0" fillId="0" borderId="18" xfId="0" applyBorder="1" applyAlignment="1"/>
    <xf numFmtId="0" fontId="17" fillId="0" borderId="18" xfId="0" applyFont="1" applyBorder="1" applyAlignment="1"/>
    <xf numFmtId="0" fontId="0" fillId="3" borderId="0" xfId="0" applyFill="1"/>
    <xf numFmtId="0" fontId="1" fillId="3" borderId="2" xfId="0" applyFont="1" applyFill="1" applyBorder="1" applyAlignment="1"/>
    <xf numFmtId="0" fontId="1" fillId="3" borderId="3" xfId="0" applyFont="1" applyFill="1" applyBorder="1" applyAlignment="1"/>
    <xf numFmtId="0" fontId="1" fillId="3" borderId="4" xfId="0" applyFont="1" applyFill="1" applyBorder="1" applyAlignment="1"/>
    <xf numFmtId="0" fontId="1" fillId="3" borderId="6" xfId="0" applyFont="1" applyFill="1" applyBorder="1" applyAlignment="1"/>
    <xf numFmtId="0" fontId="1" fillId="3" borderId="9" xfId="0" applyFont="1" applyFill="1" applyBorder="1" applyAlignment="1"/>
    <xf numFmtId="0" fontId="1" fillId="3" borderId="0" xfId="0" applyFont="1" applyFill="1" applyBorder="1" applyAlignment="1"/>
    <xf numFmtId="0" fontId="1" fillId="3" borderId="10" xfId="0" applyFont="1" applyFill="1" applyBorder="1" applyAlignment="1"/>
    <xf numFmtId="0" fontId="1" fillId="3" borderId="13" xfId="0" applyFont="1" applyFill="1" applyBorder="1" applyAlignment="1"/>
    <xf numFmtId="0" fontId="1" fillId="3" borderId="17" xfId="0" applyFont="1" applyFill="1" applyBorder="1" applyAlignment="1"/>
    <xf numFmtId="0" fontId="1" fillId="3" borderId="18" xfId="0" applyFont="1" applyFill="1" applyBorder="1" applyAlignment="1"/>
    <xf numFmtId="0" fontId="1" fillId="3" borderId="19" xfId="0" applyFont="1" applyFill="1" applyBorder="1" applyAlignment="1"/>
    <xf numFmtId="0" fontId="1" fillId="3" borderId="21" xfId="0" applyFont="1" applyFill="1" applyBorder="1" applyAlignment="1"/>
    <xf numFmtId="0" fontId="2" fillId="3" borderId="63" xfId="0" applyFont="1" applyFill="1" applyBorder="1" applyAlignment="1">
      <alignment wrapText="1"/>
    </xf>
    <xf numFmtId="0" fontId="0" fillId="3" borderId="44" xfId="0" applyFill="1" applyBorder="1" applyAlignment="1">
      <alignment wrapText="1"/>
    </xf>
    <xf numFmtId="0" fontId="0" fillId="3" borderId="64" xfId="0" applyFill="1" applyBorder="1" applyAlignment="1">
      <alignment wrapText="1"/>
    </xf>
    <xf numFmtId="0" fontId="0" fillId="3" borderId="68" xfId="0" applyFill="1" applyBorder="1" applyAlignment="1">
      <alignment wrapText="1"/>
    </xf>
    <xf numFmtId="0" fontId="0" fillId="3" borderId="0" xfId="0" applyFill="1" applyBorder="1" applyAlignment="1">
      <alignment wrapText="1"/>
    </xf>
    <xf numFmtId="0" fontId="0" fillId="3" borderId="69" xfId="0" applyFill="1" applyBorder="1" applyAlignment="1">
      <alignment wrapText="1"/>
    </xf>
    <xf numFmtId="0" fontId="0" fillId="3" borderId="68" xfId="0" applyFill="1" applyBorder="1" applyAlignment="1"/>
    <xf numFmtId="0" fontId="0" fillId="3" borderId="0" xfId="0" applyFill="1" applyBorder="1" applyAlignment="1"/>
    <xf numFmtId="0" fontId="0" fillId="3" borderId="69" xfId="0" applyFill="1" applyBorder="1" applyAlignment="1"/>
    <xf numFmtId="0" fontId="0" fillId="3" borderId="30" xfId="0" applyFill="1" applyBorder="1" applyAlignment="1"/>
    <xf numFmtId="0" fontId="0" fillId="3" borderId="45" xfId="0" applyFill="1" applyBorder="1" applyAlignment="1"/>
    <xf numFmtId="0" fontId="0" fillId="3" borderId="29" xfId="0" applyFill="1" applyBorder="1" applyAlignment="1"/>
    <xf numFmtId="0" fontId="0" fillId="3" borderId="12" xfId="0" applyFill="1" applyBorder="1" applyAlignment="1"/>
    <xf numFmtId="0" fontId="0" fillId="3" borderId="13" xfId="0" applyFill="1" applyBorder="1" applyAlignment="1"/>
    <xf numFmtId="0" fontId="0" fillId="3" borderId="30" xfId="0" applyFill="1" applyBorder="1" applyAlignment="1">
      <alignment wrapText="1"/>
    </xf>
    <xf numFmtId="0" fontId="0" fillId="3" borderId="45" xfId="0" applyFill="1" applyBorder="1" applyAlignment="1">
      <alignment wrapText="1"/>
    </xf>
    <xf numFmtId="0" fontId="0" fillId="3" borderId="29" xfId="0" applyFill="1" applyBorder="1" applyAlignment="1">
      <alignment wrapText="1"/>
    </xf>
    <xf numFmtId="0" fontId="18" fillId="3" borderId="34" xfId="1" applyFill="1" applyBorder="1"/>
    <xf numFmtId="0" fontId="2" fillId="3" borderId="70" xfId="0" applyFont="1" applyFill="1" applyBorder="1"/>
    <xf numFmtId="0" fontId="3" fillId="3" borderId="50" xfId="0" applyFont="1" applyFill="1" applyBorder="1" applyAlignment="1"/>
    <xf numFmtId="0" fontId="19" fillId="0" borderId="52" xfId="0" applyFont="1" applyBorder="1" applyAlignment="1"/>
    <xf numFmtId="0" fontId="3" fillId="3" borderId="50" xfId="0" applyFont="1" applyFill="1" applyBorder="1" applyAlignment="1">
      <alignment horizontal="center"/>
    </xf>
    <xf numFmtId="0" fontId="19" fillId="0" borderId="51" xfId="0" applyFont="1" applyBorder="1" applyAlignment="1">
      <alignment horizontal="center"/>
    </xf>
    <xf numFmtId="0" fontId="19" fillId="0" borderId="52" xfId="0" applyFont="1" applyBorder="1" applyAlignment="1">
      <alignment horizontal="center"/>
    </xf>
    <xf numFmtId="0" fontId="3" fillId="3" borderId="50" xfId="0" applyFont="1" applyFill="1" applyBorder="1" applyAlignment="1">
      <alignment horizontal="right"/>
    </xf>
    <xf numFmtId="0" fontId="19" fillId="0" borderId="51" xfId="0" applyFont="1" applyBorder="1" applyAlignment="1">
      <alignment horizontal="right"/>
    </xf>
    <xf numFmtId="0" fontId="19" fillId="0" borderId="52" xfId="0" applyFont="1" applyBorder="1" applyAlignment="1">
      <alignment horizontal="right"/>
    </xf>
    <xf numFmtId="0" fontId="2" fillId="3" borderId="59" xfId="0" applyFont="1" applyFill="1" applyBorder="1" applyAlignment="1"/>
    <xf numFmtId="0" fontId="2" fillId="3" borderId="59" xfId="0" applyFont="1" applyFill="1" applyBorder="1" applyAlignment="1">
      <alignment horizontal="center"/>
    </xf>
    <xf numFmtId="0" fontId="0" fillId="0" borderId="4" xfId="0" applyBorder="1" applyAlignment="1">
      <alignment horizontal="center"/>
    </xf>
    <xf numFmtId="0" fontId="0" fillId="0" borderId="8" xfId="0" applyBorder="1" applyAlignment="1">
      <alignment horizontal="center"/>
    </xf>
    <xf numFmtId="14" fontId="2" fillId="3" borderId="45" xfId="0" applyNumberFormat="1" applyFont="1" applyFill="1" applyBorder="1" applyAlignment="1"/>
    <xf numFmtId="0" fontId="0" fillId="0" borderId="49" xfId="0" applyBorder="1" applyAlignment="1"/>
    <xf numFmtId="0" fontId="2" fillId="3" borderId="47" xfId="0" applyFont="1" applyFill="1" applyBorder="1" applyAlignment="1"/>
    <xf numFmtId="0" fontId="0" fillId="0" borderId="16" xfId="0" applyBorder="1" applyAlignment="1"/>
    <xf numFmtId="14" fontId="2" fillId="3" borderId="12" xfId="0" applyNumberFormat="1" applyFont="1" applyFill="1" applyBorder="1" applyAlignment="1"/>
    <xf numFmtId="0" fontId="2" fillId="3" borderId="48" xfId="0" applyFont="1" applyFill="1" applyBorder="1" applyAlignment="1"/>
    <xf numFmtId="14" fontId="2" fillId="3" borderId="20" xfId="0" applyNumberFormat="1" applyFont="1" applyFill="1" applyBorder="1" applyAlignment="1"/>
    <xf numFmtId="0" fontId="2" fillId="2" borderId="1" xfId="0" applyFont="1" applyFill="1" applyBorder="1" applyAlignment="1" applyProtection="1">
      <protection locked="0"/>
    </xf>
    <xf numFmtId="0" fontId="0" fillId="0" borderId="2" xfId="0" applyBorder="1" applyAlignment="1" applyProtection="1">
      <protection locked="0"/>
    </xf>
    <xf numFmtId="0" fontId="0" fillId="0" borderId="60" xfId="0" applyBorder="1" applyAlignment="1" applyProtection="1">
      <protection locked="0"/>
    </xf>
    <xf numFmtId="0" fontId="11" fillId="2" borderId="50" xfId="0" applyFont="1" applyFill="1" applyBorder="1" applyAlignment="1" applyProtection="1">
      <protection locked="0"/>
    </xf>
    <xf numFmtId="0" fontId="0" fillId="0" borderId="51" xfId="0" applyBorder="1" applyAlignment="1" applyProtection="1">
      <protection locked="0"/>
    </xf>
    <xf numFmtId="0" fontId="0" fillId="0" borderId="52" xfId="0" applyBorder="1" applyAlignment="1" applyProtection="1">
      <protection locked="0"/>
    </xf>
    <xf numFmtId="0" fontId="2" fillId="2" borderId="50" xfId="0" applyFont="1" applyFill="1" applyBorder="1" applyAlignment="1" applyProtection="1">
      <protection locked="0"/>
    </xf>
    <xf numFmtId="0" fontId="2" fillId="2" borderId="9" xfId="0" applyFont="1" applyFill="1" applyBorder="1" applyAlignment="1" applyProtection="1">
      <protection locked="0"/>
    </xf>
    <xf numFmtId="0" fontId="2" fillId="2" borderId="0" xfId="0" applyFont="1" applyFill="1" applyBorder="1" applyAlignment="1" applyProtection="1">
      <protection locked="0"/>
    </xf>
    <xf numFmtId="0" fontId="2" fillId="2" borderId="54" xfId="0" applyFont="1" applyFill="1" applyBorder="1" applyAlignment="1" applyProtection="1">
      <protection locked="0"/>
    </xf>
    <xf numFmtId="0" fontId="11" fillId="2" borderId="51" xfId="0" applyFont="1" applyFill="1" applyBorder="1" applyAlignment="1" applyProtection="1">
      <protection locked="0"/>
    </xf>
    <xf numFmtId="0" fontId="11" fillId="2" borderId="52" xfId="0" applyFont="1" applyFill="1" applyBorder="1" applyAlignment="1" applyProtection="1">
      <protection locked="0"/>
    </xf>
    <xf numFmtId="0" fontId="2" fillId="2" borderId="51" xfId="0" applyFont="1" applyFill="1" applyBorder="1" applyAlignment="1" applyProtection="1">
      <protection locked="0"/>
    </xf>
    <xf numFmtId="0" fontId="2" fillId="2" borderId="52" xfId="0" applyFont="1" applyFill="1" applyBorder="1" applyAlignment="1" applyProtection="1">
      <protection locked="0"/>
    </xf>
    <xf numFmtId="0" fontId="2" fillId="2" borderId="50" xfId="0" applyFont="1" applyFill="1" applyBorder="1" applyAlignment="1" applyProtection="1">
      <alignment horizontal="center"/>
      <protection locked="0"/>
    </xf>
    <xf numFmtId="0" fontId="0" fillId="2" borderId="51" xfId="0" applyFill="1" applyBorder="1" applyAlignment="1" applyProtection="1">
      <alignment horizontal="center"/>
      <protection locked="0"/>
    </xf>
    <xf numFmtId="0" fontId="0" fillId="2" borderId="52" xfId="0" applyFill="1" applyBorder="1" applyAlignment="1" applyProtection="1">
      <alignment horizontal="center"/>
      <protection locked="0"/>
    </xf>
    <xf numFmtId="0" fontId="12" fillId="4" borderId="50" xfId="0" applyFont="1" applyFill="1" applyBorder="1" applyAlignment="1" applyProtection="1">
      <protection locked="0"/>
    </xf>
    <xf numFmtId="0" fontId="13" fillId="4" borderId="51" xfId="0" applyFont="1" applyFill="1" applyBorder="1" applyAlignment="1" applyProtection="1">
      <protection locked="0"/>
    </xf>
    <xf numFmtId="0" fontId="13" fillId="4" borderId="52" xfId="0" applyFont="1" applyFill="1" applyBorder="1" applyAlignment="1" applyProtection="1">
      <protection locked="0"/>
    </xf>
  </cellXfs>
  <cellStyles count="2">
    <cellStyle name="Hyperlink" xfId="1" builtinId="8"/>
    <cellStyle name="Normal" xfId="0" builtinId="0"/>
  </cellStyles>
  <dxfs count="58">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rgb="FF69D8FF"/>
      </font>
    </dxf>
    <dxf>
      <font>
        <color rgb="FF69D8FF"/>
      </font>
    </dxf>
    <dxf>
      <font>
        <color rgb="FF69D8FF"/>
      </font>
    </dxf>
    <dxf>
      <font>
        <color rgb="FF69D8FF"/>
      </font>
    </dxf>
    <dxf>
      <font>
        <color rgb="FF69D8FF"/>
      </font>
    </dxf>
    <dxf>
      <font>
        <color rgb="FF92D050"/>
      </font>
    </dxf>
    <dxf>
      <font>
        <color auto="1"/>
      </font>
    </dxf>
    <dxf>
      <font>
        <color auto="1"/>
      </font>
      <fill>
        <patternFill>
          <bgColor rgb="FFFFFF00"/>
        </patternFill>
      </fill>
    </dxf>
    <dxf>
      <font>
        <color rgb="FFFFFF00"/>
      </font>
    </dxf>
    <dxf>
      <font>
        <color rgb="FF92D050"/>
      </font>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ont>
        <color rgb="FF69D8FF"/>
      </font>
    </dxf>
    <dxf>
      <font>
        <color rgb="FF69D8FF"/>
      </font>
    </dxf>
    <dxf>
      <font>
        <color rgb="FF69D8FF"/>
      </font>
    </dxf>
    <dxf>
      <font>
        <color rgb="FF69D8FF"/>
      </font>
    </dxf>
    <dxf>
      <font>
        <color rgb="FF69D8FF"/>
      </font>
    </dxf>
    <dxf>
      <font>
        <color rgb="FF92D050"/>
      </font>
    </dxf>
    <dxf>
      <font>
        <color auto="1"/>
      </font>
    </dxf>
    <dxf>
      <font>
        <color auto="1"/>
      </font>
      <fill>
        <patternFill>
          <bgColor rgb="FFFFFF00"/>
        </patternFill>
      </fill>
    </dxf>
    <dxf>
      <font>
        <color rgb="FFFFFF00"/>
      </font>
    </dxf>
    <dxf>
      <font>
        <color rgb="FF92D050"/>
      </font>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s>
  <tableStyles count="0" defaultTableStyle="TableStyleMedium9" defaultPivotStyle="PivotStyleLight16"/>
  <colors>
    <mruColors>
      <color rgb="FF69D8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1.6064257028112452E-2"/>
          <c:w val="0.99220272425763156"/>
          <c:h val="0.98393574297188768"/>
        </c:manualLayout>
      </c:layout>
      <c:scatterChart>
        <c:scatterStyle val="smoothMarker"/>
        <c:varyColors val="0"/>
        <c:ser>
          <c:idx val="0"/>
          <c:order val="0"/>
          <c:spPr>
            <a:ln>
              <a:solidFill>
                <a:srgbClr val="0070C0"/>
              </a:solidFill>
            </a:ln>
          </c:spPr>
          <c:marker>
            <c:symbol val="none"/>
          </c:marker>
          <c:xVal>
            <c:numRef>
              <c:f>'Linear Drainage - UK Catchment'!$FT$5:$FT$104</c:f>
              <c:numCache>
                <c:formatCode>General</c:formatCode>
                <c:ptCount val="100"/>
                <c:pt idx="0">
                  <c:v>0.5</c:v>
                </c:pt>
                <c:pt idx="1">
                  <c:v>0.8</c:v>
                </c:pt>
                <c:pt idx="2">
                  <c:v>0.8</c:v>
                </c:pt>
                <c:pt idx="3">
                  <c:v>0.5</c:v>
                </c:pt>
                <c:pt idx="4">
                  <c:v>0.2</c:v>
                </c:pt>
                <c:pt idx="5">
                  <c:v>0.2</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numCache>
            </c:numRef>
          </c:xVal>
          <c:yVal>
            <c:numRef>
              <c:f>'Linear Drainage - UK Catchment'!$FU$5:$FU$104</c:f>
              <c:numCache>
                <c:formatCode>General</c:formatCode>
                <c:ptCount val="100"/>
                <c:pt idx="0">
                  <c:v>8.450000000000002E-2</c:v>
                </c:pt>
                <c:pt idx="1">
                  <c:v>0.36149999999999999</c:v>
                </c:pt>
                <c:pt idx="2">
                  <c:v>0.63849999999999996</c:v>
                </c:pt>
                <c:pt idx="3">
                  <c:v>0.91549999999999998</c:v>
                </c:pt>
                <c:pt idx="4">
                  <c:v>0.63849999999999996</c:v>
                </c:pt>
                <c:pt idx="5">
                  <c:v>0.36149999999999999</c:v>
                </c:pt>
                <c:pt idx="6">
                  <c:v>8.450000000000002E-2</c:v>
                </c:pt>
                <c:pt idx="7">
                  <c:v>8.450000000000002E-2</c:v>
                </c:pt>
                <c:pt idx="8">
                  <c:v>8.450000000000002E-2</c:v>
                </c:pt>
                <c:pt idx="9">
                  <c:v>8.450000000000002E-2</c:v>
                </c:pt>
                <c:pt idx="10">
                  <c:v>8.450000000000002E-2</c:v>
                </c:pt>
                <c:pt idx="11">
                  <c:v>8.450000000000002E-2</c:v>
                </c:pt>
                <c:pt idx="12">
                  <c:v>8.450000000000002E-2</c:v>
                </c:pt>
                <c:pt idx="13">
                  <c:v>8.450000000000002E-2</c:v>
                </c:pt>
                <c:pt idx="14">
                  <c:v>8.450000000000002E-2</c:v>
                </c:pt>
                <c:pt idx="15">
                  <c:v>8.450000000000002E-2</c:v>
                </c:pt>
                <c:pt idx="16">
                  <c:v>8.450000000000002E-2</c:v>
                </c:pt>
                <c:pt idx="17">
                  <c:v>8.450000000000002E-2</c:v>
                </c:pt>
                <c:pt idx="18">
                  <c:v>8.450000000000002E-2</c:v>
                </c:pt>
                <c:pt idx="19">
                  <c:v>8.450000000000002E-2</c:v>
                </c:pt>
                <c:pt idx="20">
                  <c:v>8.450000000000002E-2</c:v>
                </c:pt>
                <c:pt idx="21">
                  <c:v>8.450000000000002E-2</c:v>
                </c:pt>
                <c:pt idx="22">
                  <c:v>8.450000000000002E-2</c:v>
                </c:pt>
                <c:pt idx="23">
                  <c:v>8.450000000000002E-2</c:v>
                </c:pt>
                <c:pt idx="24">
                  <c:v>8.450000000000002E-2</c:v>
                </c:pt>
                <c:pt idx="25">
                  <c:v>8.450000000000002E-2</c:v>
                </c:pt>
                <c:pt idx="26">
                  <c:v>8.450000000000002E-2</c:v>
                </c:pt>
                <c:pt idx="27">
                  <c:v>8.450000000000002E-2</c:v>
                </c:pt>
                <c:pt idx="28">
                  <c:v>8.450000000000002E-2</c:v>
                </c:pt>
                <c:pt idx="29">
                  <c:v>8.450000000000002E-2</c:v>
                </c:pt>
                <c:pt idx="30">
                  <c:v>8.450000000000002E-2</c:v>
                </c:pt>
                <c:pt idx="31">
                  <c:v>8.450000000000002E-2</c:v>
                </c:pt>
                <c:pt idx="32">
                  <c:v>8.450000000000002E-2</c:v>
                </c:pt>
                <c:pt idx="33">
                  <c:v>8.450000000000002E-2</c:v>
                </c:pt>
                <c:pt idx="34">
                  <c:v>8.450000000000002E-2</c:v>
                </c:pt>
                <c:pt idx="35">
                  <c:v>8.450000000000002E-2</c:v>
                </c:pt>
                <c:pt idx="36">
                  <c:v>8.450000000000002E-2</c:v>
                </c:pt>
                <c:pt idx="37">
                  <c:v>8.450000000000002E-2</c:v>
                </c:pt>
                <c:pt idx="38">
                  <c:v>8.450000000000002E-2</c:v>
                </c:pt>
                <c:pt idx="39">
                  <c:v>8.450000000000002E-2</c:v>
                </c:pt>
                <c:pt idx="40">
                  <c:v>8.450000000000002E-2</c:v>
                </c:pt>
                <c:pt idx="41">
                  <c:v>8.450000000000002E-2</c:v>
                </c:pt>
                <c:pt idx="42">
                  <c:v>8.450000000000002E-2</c:v>
                </c:pt>
                <c:pt idx="43">
                  <c:v>8.450000000000002E-2</c:v>
                </c:pt>
                <c:pt idx="44">
                  <c:v>8.450000000000002E-2</c:v>
                </c:pt>
                <c:pt idx="45">
                  <c:v>8.450000000000002E-2</c:v>
                </c:pt>
                <c:pt idx="46">
                  <c:v>8.450000000000002E-2</c:v>
                </c:pt>
                <c:pt idx="47">
                  <c:v>8.450000000000002E-2</c:v>
                </c:pt>
                <c:pt idx="48">
                  <c:v>8.450000000000002E-2</c:v>
                </c:pt>
                <c:pt idx="49">
                  <c:v>8.450000000000002E-2</c:v>
                </c:pt>
                <c:pt idx="50">
                  <c:v>8.450000000000002E-2</c:v>
                </c:pt>
                <c:pt idx="51">
                  <c:v>8.450000000000002E-2</c:v>
                </c:pt>
                <c:pt idx="52">
                  <c:v>8.450000000000002E-2</c:v>
                </c:pt>
                <c:pt idx="53">
                  <c:v>8.450000000000002E-2</c:v>
                </c:pt>
                <c:pt idx="54">
                  <c:v>8.450000000000002E-2</c:v>
                </c:pt>
                <c:pt idx="55">
                  <c:v>8.450000000000002E-2</c:v>
                </c:pt>
                <c:pt idx="56">
                  <c:v>8.450000000000002E-2</c:v>
                </c:pt>
                <c:pt idx="57">
                  <c:v>8.450000000000002E-2</c:v>
                </c:pt>
                <c:pt idx="58">
                  <c:v>8.450000000000002E-2</c:v>
                </c:pt>
                <c:pt idx="59">
                  <c:v>8.450000000000002E-2</c:v>
                </c:pt>
                <c:pt idx="60">
                  <c:v>8.450000000000002E-2</c:v>
                </c:pt>
                <c:pt idx="61">
                  <c:v>8.450000000000002E-2</c:v>
                </c:pt>
                <c:pt idx="62">
                  <c:v>8.450000000000002E-2</c:v>
                </c:pt>
                <c:pt idx="63">
                  <c:v>8.450000000000002E-2</c:v>
                </c:pt>
                <c:pt idx="64">
                  <c:v>8.450000000000002E-2</c:v>
                </c:pt>
                <c:pt idx="65">
                  <c:v>8.450000000000002E-2</c:v>
                </c:pt>
                <c:pt idx="66">
                  <c:v>8.450000000000002E-2</c:v>
                </c:pt>
                <c:pt idx="67">
                  <c:v>8.450000000000002E-2</c:v>
                </c:pt>
                <c:pt idx="68">
                  <c:v>8.450000000000002E-2</c:v>
                </c:pt>
                <c:pt idx="69">
                  <c:v>8.450000000000002E-2</c:v>
                </c:pt>
                <c:pt idx="70">
                  <c:v>8.450000000000002E-2</c:v>
                </c:pt>
                <c:pt idx="71">
                  <c:v>8.450000000000002E-2</c:v>
                </c:pt>
                <c:pt idx="72">
                  <c:v>8.450000000000002E-2</c:v>
                </c:pt>
                <c:pt idx="73">
                  <c:v>8.450000000000002E-2</c:v>
                </c:pt>
                <c:pt idx="74">
                  <c:v>8.450000000000002E-2</c:v>
                </c:pt>
                <c:pt idx="75">
                  <c:v>8.450000000000002E-2</c:v>
                </c:pt>
                <c:pt idx="76">
                  <c:v>8.450000000000002E-2</c:v>
                </c:pt>
                <c:pt idx="77">
                  <c:v>8.450000000000002E-2</c:v>
                </c:pt>
                <c:pt idx="78">
                  <c:v>8.450000000000002E-2</c:v>
                </c:pt>
                <c:pt idx="79">
                  <c:v>8.450000000000002E-2</c:v>
                </c:pt>
                <c:pt idx="80">
                  <c:v>8.450000000000002E-2</c:v>
                </c:pt>
                <c:pt idx="81">
                  <c:v>8.450000000000002E-2</c:v>
                </c:pt>
                <c:pt idx="82">
                  <c:v>8.450000000000002E-2</c:v>
                </c:pt>
                <c:pt idx="83">
                  <c:v>8.450000000000002E-2</c:v>
                </c:pt>
                <c:pt idx="84">
                  <c:v>8.450000000000002E-2</c:v>
                </c:pt>
                <c:pt idx="85">
                  <c:v>8.450000000000002E-2</c:v>
                </c:pt>
                <c:pt idx="86">
                  <c:v>8.450000000000002E-2</c:v>
                </c:pt>
                <c:pt idx="87">
                  <c:v>8.450000000000002E-2</c:v>
                </c:pt>
                <c:pt idx="88">
                  <c:v>8.450000000000002E-2</c:v>
                </c:pt>
                <c:pt idx="89">
                  <c:v>8.450000000000002E-2</c:v>
                </c:pt>
                <c:pt idx="90">
                  <c:v>8.450000000000002E-2</c:v>
                </c:pt>
                <c:pt idx="91">
                  <c:v>8.450000000000002E-2</c:v>
                </c:pt>
                <c:pt idx="92">
                  <c:v>8.450000000000002E-2</c:v>
                </c:pt>
                <c:pt idx="93">
                  <c:v>8.450000000000002E-2</c:v>
                </c:pt>
                <c:pt idx="94">
                  <c:v>8.450000000000002E-2</c:v>
                </c:pt>
                <c:pt idx="95">
                  <c:v>8.450000000000002E-2</c:v>
                </c:pt>
                <c:pt idx="96">
                  <c:v>8.450000000000002E-2</c:v>
                </c:pt>
                <c:pt idx="97">
                  <c:v>8.450000000000002E-2</c:v>
                </c:pt>
                <c:pt idx="98">
                  <c:v>8.450000000000002E-2</c:v>
                </c:pt>
                <c:pt idx="99">
                  <c:v>8.450000000000002E-2</c:v>
                </c:pt>
              </c:numCache>
            </c:numRef>
          </c:yVal>
          <c:smooth val="0"/>
        </c:ser>
        <c:ser>
          <c:idx val="1"/>
          <c:order val="1"/>
          <c:spPr>
            <a:ln>
              <a:solidFill>
                <a:srgbClr val="92D050"/>
              </a:solidFill>
              <a:headEnd type="triangle"/>
              <a:tailEnd type="triangle"/>
            </a:ln>
          </c:spPr>
          <c:marker>
            <c:symbol val="none"/>
          </c:marker>
          <c:xVal>
            <c:numRef>
              <c:f>'Linear Drainage - UK Catchment'!$FW$5:$FW$6</c:f>
              <c:numCache>
                <c:formatCode>General</c:formatCode>
                <c:ptCount val="2"/>
                <c:pt idx="0">
                  <c:v>0.2</c:v>
                </c:pt>
                <c:pt idx="1">
                  <c:v>0.8</c:v>
                </c:pt>
              </c:numCache>
            </c:numRef>
          </c:xVal>
          <c:yVal>
            <c:numRef>
              <c:f>'Linear Drainage - UK Catchment'!$FX$5:$FX$6</c:f>
              <c:numCache>
                <c:formatCode>General</c:formatCode>
                <c:ptCount val="2"/>
                <c:pt idx="0">
                  <c:v>-0.1</c:v>
                </c:pt>
                <c:pt idx="1">
                  <c:v>-0.1</c:v>
                </c:pt>
              </c:numCache>
            </c:numRef>
          </c:yVal>
          <c:smooth val="1"/>
        </c:ser>
        <c:ser>
          <c:idx val="2"/>
          <c:order val="2"/>
          <c:spPr>
            <a:ln>
              <a:solidFill>
                <a:srgbClr val="92D050"/>
              </a:solidFill>
              <a:headEnd type="triangle"/>
              <a:tailEnd type="triangle"/>
            </a:ln>
          </c:spPr>
          <c:marker>
            <c:symbol val="none"/>
          </c:marker>
          <c:xVal>
            <c:numRef>
              <c:f>'Linear Drainage - UK Catchment'!$FW$8:$FW$9</c:f>
              <c:numCache>
                <c:formatCode>General</c:formatCode>
                <c:ptCount val="2"/>
                <c:pt idx="0">
                  <c:v>-0.1</c:v>
                </c:pt>
                <c:pt idx="1">
                  <c:v>-0.1</c:v>
                </c:pt>
              </c:numCache>
            </c:numRef>
          </c:xVal>
          <c:yVal>
            <c:numRef>
              <c:f>'Linear Drainage - UK Catchment'!$FX$8:$FX$9</c:f>
              <c:numCache>
                <c:formatCode>General</c:formatCode>
                <c:ptCount val="2"/>
                <c:pt idx="0">
                  <c:v>8.450000000000002E-2</c:v>
                </c:pt>
                <c:pt idx="1">
                  <c:v>0.91549999999999998</c:v>
                </c:pt>
              </c:numCache>
            </c:numRef>
          </c:yVal>
          <c:smooth val="1"/>
        </c:ser>
        <c:ser>
          <c:idx val="3"/>
          <c:order val="3"/>
          <c:tx>
            <c:strRef>
              <c:f>'Linear Drainage - UK Catchment'!$FV$11</c:f>
              <c:strCache>
                <c:ptCount val="1"/>
                <c:pt idx="0">
                  <c:v>0.6m</c:v>
                </c:pt>
              </c:strCache>
            </c:strRef>
          </c:tx>
          <c:marker>
            <c:symbol val="none"/>
          </c:marker>
          <c:dLbls>
            <c:spPr>
              <a:ln>
                <a:noFill/>
              </a:ln>
            </c:spPr>
            <c:txPr>
              <a:bodyPr rot="0" vert="horz"/>
              <a:lstStyle/>
              <a:p>
                <a:pPr>
                  <a:defRPr sz="800"/>
                </a:pPr>
                <a:endParaRPr lang="en-US"/>
              </a:p>
            </c:txPr>
            <c:dLblPos val="ctr"/>
            <c:showLegendKey val="0"/>
            <c:showVal val="0"/>
            <c:showCatName val="0"/>
            <c:showSerName val="1"/>
            <c:showPercent val="0"/>
            <c:showBubbleSize val="0"/>
            <c:showLeaderLines val="0"/>
          </c:dLbls>
          <c:xVal>
            <c:numRef>
              <c:f>'Linear Drainage - UK Catchment'!$FW$11</c:f>
              <c:numCache>
                <c:formatCode>General</c:formatCode>
                <c:ptCount val="1"/>
                <c:pt idx="0">
                  <c:v>0.5</c:v>
                </c:pt>
              </c:numCache>
            </c:numRef>
          </c:xVal>
          <c:yVal>
            <c:numRef>
              <c:f>'Linear Drainage - UK Catchment'!$FX$11</c:f>
              <c:numCache>
                <c:formatCode>General</c:formatCode>
                <c:ptCount val="1"/>
                <c:pt idx="0">
                  <c:v>-0.1</c:v>
                </c:pt>
              </c:numCache>
            </c:numRef>
          </c:yVal>
          <c:smooth val="1"/>
        </c:ser>
        <c:ser>
          <c:idx val="4"/>
          <c:order val="4"/>
          <c:tx>
            <c:strRef>
              <c:f>'Linear Drainage - UK Catchment'!$FV$14</c:f>
              <c:strCache>
                <c:ptCount val="1"/>
                <c:pt idx="0">
                  <c:v>0.84m</c:v>
                </c:pt>
              </c:strCache>
            </c:strRef>
          </c:tx>
          <c:marker>
            <c:symbol val="none"/>
          </c:marker>
          <c:dLbls>
            <c:txPr>
              <a:bodyPr rot="-5400000" vert="horz"/>
              <a:lstStyle/>
              <a:p>
                <a:pPr>
                  <a:defRPr sz="800"/>
                </a:pPr>
                <a:endParaRPr lang="en-US"/>
              </a:p>
            </c:txPr>
            <c:dLblPos val="ctr"/>
            <c:showLegendKey val="0"/>
            <c:showVal val="0"/>
            <c:showCatName val="0"/>
            <c:showSerName val="1"/>
            <c:showPercent val="0"/>
            <c:showBubbleSize val="0"/>
            <c:showLeaderLines val="0"/>
          </c:dLbls>
          <c:xVal>
            <c:numRef>
              <c:f>'Linear Drainage - UK Catchment'!$FW$14</c:f>
              <c:numCache>
                <c:formatCode>General</c:formatCode>
                <c:ptCount val="1"/>
                <c:pt idx="0">
                  <c:v>-0.1</c:v>
                </c:pt>
              </c:numCache>
            </c:numRef>
          </c:xVal>
          <c:yVal>
            <c:numRef>
              <c:f>'Linear Drainage - UK Catchment'!$FX$14</c:f>
              <c:numCache>
                <c:formatCode>General</c:formatCode>
                <c:ptCount val="1"/>
                <c:pt idx="0">
                  <c:v>0.5</c:v>
                </c:pt>
              </c:numCache>
            </c:numRef>
          </c:yVal>
          <c:smooth val="1"/>
        </c:ser>
        <c:dLbls>
          <c:showLegendKey val="0"/>
          <c:showVal val="0"/>
          <c:showCatName val="0"/>
          <c:showSerName val="0"/>
          <c:showPercent val="0"/>
          <c:showBubbleSize val="0"/>
        </c:dLbls>
        <c:axId val="186970880"/>
        <c:axId val="186972416"/>
      </c:scatterChart>
      <c:valAx>
        <c:axId val="186970880"/>
        <c:scaling>
          <c:orientation val="minMax"/>
          <c:max val="1"/>
          <c:min val="-0.15000000000000005"/>
        </c:scaling>
        <c:delete val="1"/>
        <c:axPos val="b"/>
        <c:numFmt formatCode="General" sourceLinked="1"/>
        <c:majorTickMark val="out"/>
        <c:minorTickMark val="none"/>
        <c:tickLblPos val="none"/>
        <c:crossAx val="186972416"/>
        <c:crosses val="autoZero"/>
        <c:crossBetween val="midCat"/>
      </c:valAx>
      <c:valAx>
        <c:axId val="186972416"/>
        <c:scaling>
          <c:orientation val="minMax"/>
          <c:max val="1"/>
          <c:min val="-0.15000000000000005"/>
        </c:scaling>
        <c:delete val="1"/>
        <c:axPos val="l"/>
        <c:numFmt formatCode="General" sourceLinked="1"/>
        <c:majorTickMark val="out"/>
        <c:minorTickMark val="none"/>
        <c:tickLblPos val="none"/>
        <c:crossAx val="186970880"/>
        <c:crosses val="autoZero"/>
        <c:crossBetween val="midCat"/>
      </c:valAx>
    </c:plotArea>
    <c:plotVisOnly val="0"/>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rgbClr val="0070C0"/>
              </a:solidFill>
            </a:ln>
          </c:spPr>
          <c:marker>
            <c:symbol val="none"/>
          </c:marker>
          <c:xVal>
            <c:numRef>
              <c:f>'Linear Drainage - UK Catchment'!$CB$66:$CB$80</c:f>
              <c:numCache>
                <c:formatCode>General</c:formatCode>
                <c:ptCount val="15"/>
                <c:pt idx="0">
                  <c:v>0</c:v>
                </c:pt>
                <c:pt idx="1">
                  <c:v>0.01</c:v>
                </c:pt>
                <c:pt idx="2">
                  <c:v>0.05</c:v>
                </c:pt>
                <c:pt idx="3">
                  <c:v>0.1</c:v>
                </c:pt>
                <c:pt idx="4">
                  <c:v>0.5</c:v>
                </c:pt>
                <c:pt idx="5">
                  <c:v>1</c:v>
                </c:pt>
                <c:pt idx="6">
                  <c:v>2</c:v>
                </c:pt>
                <c:pt idx="7">
                  <c:v>3</c:v>
                </c:pt>
                <c:pt idx="8">
                  <c:v>4</c:v>
                </c:pt>
                <c:pt idx="9">
                  <c:v>5</c:v>
                </c:pt>
                <c:pt idx="10">
                  <c:v>6</c:v>
                </c:pt>
                <c:pt idx="11">
                  <c:v>7</c:v>
                </c:pt>
                <c:pt idx="12">
                  <c:v>8</c:v>
                </c:pt>
                <c:pt idx="13">
                  <c:v>9</c:v>
                </c:pt>
                <c:pt idx="14">
                  <c:v>10</c:v>
                </c:pt>
              </c:numCache>
            </c:numRef>
          </c:xVal>
          <c:yVal>
            <c:numRef>
              <c:f>'Linear Drainage - UK Catchment'!$CC$66:$CC$80</c:f>
              <c:numCache>
                <c:formatCode>General</c:formatCode>
                <c:ptCount val="15"/>
                <c:pt idx="0">
                  <c:v>383.92680705663327</c:v>
                </c:pt>
                <c:pt idx="1">
                  <c:v>392.98120843358686</c:v>
                </c:pt>
                <c:pt idx="2">
                  <c:v>411.86116833782836</c:v>
                </c:pt>
                <c:pt idx="3">
                  <c:v>429.30631083929643</c:v>
                </c:pt>
                <c:pt idx="4">
                  <c:v>523.93025959330294</c:v>
                </c:pt>
                <c:pt idx="5">
                  <c:v>611.36308669874609</c:v>
                </c:pt>
                <c:pt idx="6">
                  <c:v>753.39813337193914</c:v>
                </c:pt>
                <c:pt idx="7">
                  <c:v>874.65908079213068</c:v>
                </c:pt>
                <c:pt idx="8">
                  <c:v>984.1347474256811</c:v>
                </c:pt>
                <c:pt idx="9">
                  <c:v>1085.6062378078391</c:v>
                </c:pt>
                <c:pt idx="10">
                  <c:v>1181.1237376786373</c:v>
                </c:pt>
                <c:pt idx="11">
                  <c:v>1271.9583058809931</c:v>
                </c:pt>
                <c:pt idx="12">
                  <c:v>1358.9674828102322</c:v>
                </c:pt>
                <c:pt idx="13">
                  <c:v>1442.7647587877987</c:v>
                </c:pt>
                <c:pt idx="14">
                  <c:v>1523.8084052597251</c:v>
                </c:pt>
              </c:numCache>
            </c:numRef>
          </c:yVal>
          <c:smooth val="1"/>
        </c:ser>
        <c:ser>
          <c:idx val="1"/>
          <c:order val="1"/>
          <c:spPr>
            <a:ln w="19050">
              <a:solidFill>
                <a:srgbClr val="FF0000"/>
              </a:solidFill>
              <a:prstDash val="dashDot"/>
            </a:ln>
          </c:spPr>
          <c:marker>
            <c:symbol val="none"/>
          </c:marker>
          <c:dLbls>
            <c:dLbl>
              <c:idx val="0"/>
              <c:layout>
                <c:manualLayout>
                  <c:x val="-3.1771453016590241E-2"/>
                  <c:y val="-2.8544198965420584E-3"/>
                </c:manualLayout>
              </c:layout>
              <c:dLblPos val="r"/>
              <c:showLegendKey val="0"/>
              <c:showVal val="1"/>
              <c:showCatName val="0"/>
              <c:showSerName val="0"/>
              <c:showPercent val="0"/>
              <c:showBubbleSize val="0"/>
            </c:dLbl>
            <c:showLegendKey val="0"/>
            <c:showVal val="0"/>
            <c:showCatName val="0"/>
            <c:showSerName val="0"/>
            <c:showPercent val="0"/>
            <c:showBubbleSize val="0"/>
          </c:dLbls>
          <c:xVal>
            <c:numRef>
              <c:f>'Linear Drainage - UK Catchment'!$CB$83:$CB$85</c:f>
              <c:numCache>
                <c:formatCode>General</c:formatCode>
                <c:ptCount val="3"/>
                <c:pt idx="0">
                  <c:v>0</c:v>
                </c:pt>
                <c:pt idx="1">
                  <c:v>1</c:v>
                </c:pt>
                <c:pt idx="2">
                  <c:v>1</c:v>
                </c:pt>
              </c:numCache>
            </c:numRef>
          </c:xVal>
          <c:yVal>
            <c:numRef>
              <c:f>'Linear Drainage - UK Catchment'!$CC$83:$CC$85</c:f>
              <c:numCache>
                <c:formatCode>#,##0</c:formatCode>
                <c:ptCount val="3"/>
                <c:pt idx="0">
                  <c:v>611.36308669874609</c:v>
                </c:pt>
                <c:pt idx="1">
                  <c:v>611.36308669874609</c:v>
                </c:pt>
                <c:pt idx="2" formatCode="General">
                  <c:v>0</c:v>
                </c:pt>
              </c:numCache>
            </c:numRef>
          </c:yVal>
          <c:smooth val="0"/>
        </c:ser>
        <c:dLbls>
          <c:showLegendKey val="0"/>
          <c:showVal val="0"/>
          <c:showCatName val="0"/>
          <c:showSerName val="0"/>
          <c:showPercent val="0"/>
          <c:showBubbleSize val="0"/>
        </c:dLbls>
        <c:axId val="189517824"/>
        <c:axId val="224679040"/>
      </c:scatterChart>
      <c:valAx>
        <c:axId val="189517824"/>
        <c:scaling>
          <c:orientation val="minMax"/>
          <c:max val="10"/>
          <c:min val="0"/>
        </c:scaling>
        <c:delete val="0"/>
        <c:axPos val="b"/>
        <c:title>
          <c:tx>
            <c:rich>
              <a:bodyPr/>
              <a:lstStyle/>
              <a:p>
                <a:pPr>
                  <a:defRPr/>
                </a:pPr>
                <a:r>
                  <a:rPr lang="en-GB"/>
                  <a:t>Ground Slope </a:t>
                </a:r>
                <a:r>
                  <a:rPr lang="en-GB" baseline="0"/>
                  <a:t>(%)</a:t>
                </a:r>
                <a:endParaRPr lang="en-GB"/>
              </a:p>
            </c:rich>
          </c:tx>
          <c:layout/>
          <c:overlay val="0"/>
        </c:title>
        <c:numFmt formatCode="General" sourceLinked="1"/>
        <c:majorTickMark val="out"/>
        <c:minorTickMark val="none"/>
        <c:tickLblPos val="nextTo"/>
        <c:crossAx val="224679040"/>
        <c:crosses val="autoZero"/>
        <c:crossBetween val="midCat"/>
      </c:valAx>
      <c:valAx>
        <c:axId val="224679040"/>
        <c:scaling>
          <c:orientation val="minMax"/>
        </c:scaling>
        <c:delete val="0"/>
        <c:axPos val="l"/>
        <c:majorGridlines/>
        <c:title>
          <c:tx>
            <c:rich>
              <a:bodyPr rot="-5400000" vert="horz"/>
              <a:lstStyle/>
              <a:p>
                <a:pPr>
                  <a:defRPr/>
                </a:pPr>
                <a:r>
                  <a:rPr lang="en-GB"/>
                  <a:t>Channel Flow Capacity (l/s)</a:t>
                </a:r>
              </a:p>
            </c:rich>
          </c:tx>
          <c:layout/>
          <c:overlay val="0"/>
        </c:title>
        <c:numFmt formatCode="General" sourceLinked="1"/>
        <c:majorTickMark val="out"/>
        <c:minorTickMark val="none"/>
        <c:tickLblPos val="nextTo"/>
        <c:crossAx val="189517824"/>
        <c:crosses val="autoZero"/>
        <c:crossBetween val="midCat"/>
      </c:valAx>
    </c:plotArea>
    <c:plotVisOnly val="0"/>
    <c:dispBlanksAs val="gap"/>
    <c:showDLblsOverMax val="0"/>
  </c:chart>
  <c:spPr>
    <a:solidFill>
      <a:schemeClr val="bg1">
        <a:lumMod val="95000"/>
      </a:schemeClr>
    </a:solidFill>
    <a:ln w="31750">
      <a:solidFill>
        <a:srgbClr val="69D8FF"/>
      </a:solid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1.6064257028112459E-2"/>
          <c:w val="0.99220272425763123"/>
          <c:h val="0.98393574297188768"/>
        </c:manualLayout>
      </c:layout>
      <c:scatterChart>
        <c:scatterStyle val="smoothMarker"/>
        <c:varyColors val="0"/>
        <c:ser>
          <c:idx val="0"/>
          <c:order val="0"/>
          <c:spPr>
            <a:ln>
              <a:solidFill>
                <a:srgbClr val="0070C0"/>
              </a:solidFill>
            </a:ln>
          </c:spPr>
          <c:marker>
            <c:symbol val="none"/>
          </c:marker>
          <c:xVal>
            <c:numRef>
              <c:f>'Linear Drainage - UK Catchment'!$GY$5:$GY$104</c:f>
              <c:numCache>
                <c:formatCode>General</c:formatCode>
                <c:ptCount val="100"/>
                <c:pt idx="0">
                  <c:v>0.5</c:v>
                </c:pt>
                <c:pt idx="1">
                  <c:v>0.8</c:v>
                </c:pt>
                <c:pt idx="2">
                  <c:v>0.8</c:v>
                </c:pt>
                <c:pt idx="3">
                  <c:v>0.5</c:v>
                </c:pt>
                <c:pt idx="4">
                  <c:v>0.2</c:v>
                </c:pt>
                <c:pt idx="5">
                  <c:v>0.2</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numCache>
            </c:numRef>
          </c:xVal>
          <c:yVal>
            <c:numRef>
              <c:f>'Linear Drainage - UK Catchment'!$GZ$5:$GZ$104</c:f>
              <c:numCache>
                <c:formatCode>General</c:formatCode>
                <c:ptCount val="100"/>
                <c:pt idx="0">
                  <c:v>8.450000000000002E-2</c:v>
                </c:pt>
                <c:pt idx="1">
                  <c:v>0.36149999999999999</c:v>
                </c:pt>
                <c:pt idx="2">
                  <c:v>0.63849999999999996</c:v>
                </c:pt>
                <c:pt idx="3">
                  <c:v>0.91549999999999998</c:v>
                </c:pt>
                <c:pt idx="4">
                  <c:v>0.63849999999999996</c:v>
                </c:pt>
                <c:pt idx="5">
                  <c:v>0.36149999999999999</c:v>
                </c:pt>
                <c:pt idx="6">
                  <c:v>8.450000000000002E-2</c:v>
                </c:pt>
                <c:pt idx="7">
                  <c:v>8.450000000000002E-2</c:v>
                </c:pt>
                <c:pt idx="8">
                  <c:v>8.450000000000002E-2</c:v>
                </c:pt>
                <c:pt idx="9">
                  <c:v>8.450000000000002E-2</c:v>
                </c:pt>
                <c:pt idx="10">
                  <c:v>8.450000000000002E-2</c:v>
                </c:pt>
                <c:pt idx="11">
                  <c:v>8.450000000000002E-2</c:v>
                </c:pt>
                <c:pt idx="12">
                  <c:v>8.450000000000002E-2</c:v>
                </c:pt>
                <c:pt idx="13">
                  <c:v>8.450000000000002E-2</c:v>
                </c:pt>
                <c:pt idx="14">
                  <c:v>8.450000000000002E-2</c:v>
                </c:pt>
                <c:pt idx="15">
                  <c:v>8.450000000000002E-2</c:v>
                </c:pt>
                <c:pt idx="16">
                  <c:v>8.450000000000002E-2</c:v>
                </c:pt>
                <c:pt idx="17">
                  <c:v>8.450000000000002E-2</c:v>
                </c:pt>
                <c:pt idx="18">
                  <c:v>8.450000000000002E-2</c:v>
                </c:pt>
                <c:pt idx="19">
                  <c:v>8.450000000000002E-2</c:v>
                </c:pt>
                <c:pt idx="20">
                  <c:v>8.450000000000002E-2</c:v>
                </c:pt>
                <c:pt idx="21">
                  <c:v>8.450000000000002E-2</c:v>
                </c:pt>
                <c:pt idx="22">
                  <c:v>8.450000000000002E-2</c:v>
                </c:pt>
                <c:pt idx="23">
                  <c:v>8.450000000000002E-2</c:v>
                </c:pt>
                <c:pt idx="24">
                  <c:v>8.450000000000002E-2</c:v>
                </c:pt>
                <c:pt idx="25">
                  <c:v>8.450000000000002E-2</c:v>
                </c:pt>
                <c:pt idx="26">
                  <c:v>8.450000000000002E-2</c:v>
                </c:pt>
                <c:pt idx="27">
                  <c:v>8.450000000000002E-2</c:v>
                </c:pt>
                <c:pt idx="28">
                  <c:v>8.450000000000002E-2</c:v>
                </c:pt>
                <c:pt idx="29">
                  <c:v>8.450000000000002E-2</c:v>
                </c:pt>
                <c:pt idx="30">
                  <c:v>8.450000000000002E-2</c:v>
                </c:pt>
                <c:pt idx="31">
                  <c:v>8.450000000000002E-2</c:v>
                </c:pt>
                <c:pt idx="32">
                  <c:v>8.450000000000002E-2</c:v>
                </c:pt>
                <c:pt idx="33">
                  <c:v>8.450000000000002E-2</c:v>
                </c:pt>
                <c:pt idx="34">
                  <c:v>8.450000000000002E-2</c:v>
                </c:pt>
                <c:pt idx="35">
                  <c:v>8.450000000000002E-2</c:v>
                </c:pt>
                <c:pt idx="36">
                  <c:v>8.450000000000002E-2</c:v>
                </c:pt>
                <c:pt idx="37">
                  <c:v>8.450000000000002E-2</c:v>
                </c:pt>
                <c:pt idx="38">
                  <c:v>8.450000000000002E-2</c:v>
                </c:pt>
                <c:pt idx="39">
                  <c:v>8.450000000000002E-2</c:v>
                </c:pt>
                <c:pt idx="40">
                  <c:v>8.450000000000002E-2</c:v>
                </c:pt>
                <c:pt idx="41">
                  <c:v>8.450000000000002E-2</c:v>
                </c:pt>
                <c:pt idx="42">
                  <c:v>8.450000000000002E-2</c:v>
                </c:pt>
                <c:pt idx="43">
                  <c:v>8.450000000000002E-2</c:v>
                </c:pt>
                <c:pt idx="44">
                  <c:v>8.450000000000002E-2</c:v>
                </c:pt>
                <c:pt idx="45">
                  <c:v>8.450000000000002E-2</c:v>
                </c:pt>
                <c:pt idx="46">
                  <c:v>8.450000000000002E-2</c:v>
                </c:pt>
                <c:pt idx="47">
                  <c:v>8.450000000000002E-2</c:v>
                </c:pt>
                <c:pt idx="48">
                  <c:v>8.450000000000002E-2</c:v>
                </c:pt>
                <c:pt idx="49">
                  <c:v>8.450000000000002E-2</c:v>
                </c:pt>
                <c:pt idx="50">
                  <c:v>8.450000000000002E-2</c:v>
                </c:pt>
                <c:pt idx="51">
                  <c:v>8.450000000000002E-2</c:v>
                </c:pt>
                <c:pt idx="52">
                  <c:v>8.450000000000002E-2</c:v>
                </c:pt>
                <c:pt idx="53">
                  <c:v>8.450000000000002E-2</c:v>
                </c:pt>
                <c:pt idx="54">
                  <c:v>8.450000000000002E-2</c:v>
                </c:pt>
                <c:pt idx="55">
                  <c:v>8.450000000000002E-2</c:v>
                </c:pt>
                <c:pt idx="56">
                  <c:v>8.450000000000002E-2</c:v>
                </c:pt>
                <c:pt idx="57">
                  <c:v>8.450000000000002E-2</c:v>
                </c:pt>
                <c:pt idx="58">
                  <c:v>8.450000000000002E-2</c:v>
                </c:pt>
                <c:pt idx="59">
                  <c:v>8.450000000000002E-2</c:v>
                </c:pt>
                <c:pt idx="60">
                  <c:v>8.450000000000002E-2</c:v>
                </c:pt>
                <c:pt idx="61">
                  <c:v>8.450000000000002E-2</c:v>
                </c:pt>
                <c:pt idx="62">
                  <c:v>8.450000000000002E-2</c:v>
                </c:pt>
                <c:pt idx="63">
                  <c:v>8.450000000000002E-2</c:v>
                </c:pt>
                <c:pt idx="64">
                  <c:v>8.450000000000002E-2</c:v>
                </c:pt>
                <c:pt idx="65">
                  <c:v>8.450000000000002E-2</c:v>
                </c:pt>
                <c:pt idx="66">
                  <c:v>8.450000000000002E-2</c:v>
                </c:pt>
                <c:pt idx="67">
                  <c:v>8.450000000000002E-2</c:v>
                </c:pt>
                <c:pt idx="68">
                  <c:v>8.450000000000002E-2</c:v>
                </c:pt>
                <c:pt idx="69">
                  <c:v>8.450000000000002E-2</c:v>
                </c:pt>
                <c:pt idx="70">
                  <c:v>8.450000000000002E-2</c:v>
                </c:pt>
                <c:pt idx="71">
                  <c:v>8.450000000000002E-2</c:v>
                </c:pt>
                <c:pt idx="72">
                  <c:v>8.450000000000002E-2</c:v>
                </c:pt>
                <c:pt idx="73">
                  <c:v>8.450000000000002E-2</c:v>
                </c:pt>
                <c:pt idx="74">
                  <c:v>8.450000000000002E-2</c:v>
                </c:pt>
                <c:pt idx="75">
                  <c:v>8.450000000000002E-2</c:v>
                </c:pt>
                <c:pt idx="76">
                  <c:v>8.450000000000002E-2</c:v>
                </c:pt>
                <c:pt idx="77">
                  <c:v>8.450000000000002E-2</c:v>
                </c:pt>
                <c:pt idx="78">
                  <c:v>8.450000000000002E-2</c:v>
                </c:pt>
                <c:pt idx="79">
                  <c:v>8.450000000000002E-2</c:v>
                </c:pt>
                <c:pt idx="80">
                  <c:v>8.450000000000002E-2</c:v>
                </c:pt>
                <c:pt idx="81">
                  <c:v>8.450000000000002E-2</c:v>
                </c:pt>
                <c:pt idx="82">
                  <c:v>8.450000000000002E-2</c:v>
                </c:pt>
                <c:pt idx="83">
                  <c:v>8.450000000000002E-2</c:v>
                </c:pt>
                <c:pt idx="84">
                  <c:v>8.450000000000002E-2</c:v>
                </c:pt>
                <c:pt idx="85">
                  <c:v>8.450000000000002E-2</c:v>
                </c:pt>
                <c:pt idx="86">
                  <c:v>8.450000000000002E-2</c:v>
                </c:pt>
                <c:pt idx="87">
                  <c:v>8.450000000000002E-2</c:v>
                </c:pt>
                <c:pt idx="88">
                  <c:v>8.450000000000002E-2</c:v>
                </c:pt>
                <c:pt idx="89">
                  <c:v>8.450000000000002E-2</c:v>
                </c:pt>
                <c:pt idx="90">
                  <c:v>8.450000000000002E-2</c:v>
                </c:pt>
                <c:pt idx="91">
                  <c:v>8.450000000000002E-2</c:v>
                </c:pt>
                <c:pt idx="92">
                  <c:v>8.450000000000002E-2</c:v>
                </c:pt>
                <c:pt idx="93">
                  <c:v>8.450000000000002E-2</c:v>
                </c:pt>
                <c:pt idx="94">
                  <c:v>8.450000000000002E-2</c:v>
                </c:pt>
                <c:pt idx="95">
                  <c:v>8.450000000000002E-2</c:v>
                </c:pt>
                <c:pt idx="96">
                  <c:v>8.450000000000002E-2</c:v>
                </c:pt>
                <c:pt idx="97">
                  <c:v>8.450000000000002E-2</c:v>
                </c:pt>
                <c:pt idx="98">
                  <c:v>8.450000000000002E-2</c:v>
                </c:pt>
                <c:pt idx="99">
                  <c:v>8.450000000000002E-2</c:v>
                </c:pt>
              </c:numCache>
            </c:numRef>
          </c:yVal>
          <c:smooth val="0"/>
        </c:ser>
        <c:ser>
          <c:idx val="1"/>
          <c:order val="1"/>
          <c:spPr>
            <a:ln>
              <a:solidFill>
                <a:srgbClr val="92D050"/>
              </a:solidFill>
              <a:headEnd type="triangle"/>
              <a:tailEnd type="triangle"/>
            </a:ln>
          </c:spPr>
          <c:marker>
            <c:symbol val="none"/>
          </c:marker>
          <c:xVal>
            <c:numRef>
              <c:f>'Linear Drainage - UK Catchment'!$HB$5:$HB$6</c:f>
              <c:numCache>
                <c:formatCode>General</c:formatCode>
                <c:ptCount val="2"/>
                <c:pt idx="0">
                  <c:v>0.2</c:v>
                </c:pt>
                <c:pt idx="1">
                  <c:v>0.8</c:v>
                </c:pt>
              </c:numCache>
            </c:numRef>
          </c:xVal>
          <c:yVal>
            <c:numRef>
              <c:f>'Linear Drainage - UK Catchment'!$HC$5:$HC$6</c:f>
              <c:numCache>
                <c:formatCode>General</c:formatCode>
                <c:ptCount val="2"/>
                <c:pt idx="0">
                  <c:v>-0.1</c:v>
                </c:pt>
                <c:pt idx="1">
                  <c:v>-0.1</c:v>
                </c:pt>
              </c:numCache>
            </c:numRef>
          </c:yVal>
          <c:smooth val="1"/>
        </c:ser>
        <c:ser>
          <c:idx val="2"/>
          <c:order val="2"/>
          <c:spPr>
            <a:ln>
              <a:solidFill>
                <a:srgbClr val="92D050"/>
              </a:solidFill>
              <a:headEnd type="triangle"/>
              <a:tailEnd type="triangle"/>
            </a:ln>
          </c:spPr>
          <c:marker>
            <c:symbol val="none"/>
          </c:marker>
          <c:xVal>
            <c:numRef>
              <c:f>'Linear Drainage - UK Catchment'!$HB$8:$HB$9</c:f>
              <c:numCache>
                <c:formatCode>General</c:formatCode>
                <c:ptCount val="2"/>
                <c:pt idx="0">
                  <c:v>-0.1</c:v>
                </c:pt>
                <c:pt idx="1">
                  <c:v>-0.1</c:v>
                </c:pt>
              </c:numCache>
            </c:numRef>
          </c:xVal>
          <c:yVal>
            <c:numRef>
              <c:f>'Linear Drainage - UK Catchment'!$HC$8:$HC$9</c:f>
              <c:numCache>
                <c:formatCode>General</c:formatCode>
                <c:ptCount val="2"/>
                <c:pt idx="0">
                  <c:v>8.450000000000002E-2</c:v>
                </c:pt>
                <c:pt idx="1">
                  <c:v>0.91549999999999998</c:v>
                </c:pt>
              </c:numCache>
            </c:numRef>
          </c:yVal>
          <c:smooth val="1"/>
        </c:ser>
        <c:ser>
          <c:idx val="3"/>
          <c:order val="3"/>
          <c:tx>
            <c:strRef>
              <c:f>'Linear Drainage - UK Catchment'!$HA$11</c:f>
              <c:strCache>
                <c:ptCount val="1"/>
                <c:pt idx="0">
                  <c:v>0.6m</c:v>
                </c:pt>
              </c:strCache>
            </c:strRef>
          </c:tx>
          <c:marker>
            <c:symbol val="none"/>
          </c:marker>
          <c:dLbls>
            <c:spPr>
              <a:ln>
                <a:noFill/>
              </a:ln>
            </c:spPr>
            <c:txPr>
              <a:bodyPr rot="0" vert="horz"/>
              <a:lstStyle/>
              <a:p>
                <a:pPr>
                  <a:defRPr sz="800"/>
                </a:pPr>
                <a:endParaRPr lang="en-US"/>
              </a:p>
            </c:txPr>
            <c:dLblPos val="ctr"/>
            <c:showLegendKey val="0"/>
            <c:showVal val="0"/>
            <c:showCatName val="0"/>
            <c:showSerName val="1"/>
            <c:showPercent val="0"/>
            <c:showBubbleSize val="0"/>
            <c:showLeaderLines val="0"/>
          </c:dLbls>
          <c:xVal>
            <c:numRef>
              <c:f>'Linear Drainage - UK Catchment'!$HB$11</c:f>
              <c:numCache>
                <c:formatCode>General</c:formatCode>
                <c:ptCount val="1"/>
                <c:pt idx="0">
                  <c:v>0.5</c:v>
                </c:pt>
              </c:numCache>
            </c:numRef>
          </c:xVal>
          <c:yVal>
            <c:numRef>
              <c:f>'Linear Drainage - UK Catchment'!$HC$11</c:f>
              <c:numCache>
                <c:formatCode>General</c:formatCode>
                <c:ptCount val="1"/>
                <c:pt idx="0">
                  <c:v>-0.1</c:v>
                </c:pt>
              </c:numCache>
            </c:numRef>
          </c:yVal>
          <c:smooth val="1"/>
        </c:ser>
        <c:ser>
          <c:idx val="4"/>
          <c:order val="4"/>
          <c:tx>
            <c:strRef>
              <c:f>'Linear Drainage - UK Catchment'!$HA$14</c:f>
              <c:strCache>
                <c:ptCount val="1"/>
                <c:pt idx="0">
                  <c:v>0.84m</c:v>
                </c:pt>
              </c:strCache>
            </c:strRef>
          </c:tx>
          <c:marker>
            <c:symbol val="none"/>
          </c:marker>
          <c:dLbls>
            <c:txPr>
              <a:bodyPr rot="-5400000" vert="horz"/>
              <a:lstStyle/>
              <a:p>
                <a:pPr>
                  <a:defRPr sz="800"/>
                </a:pPr>
                <a:endParaRPr lang="en-US"/>
              </a:p>
            </c:txPr>
            <c:dLblPos val="ctr"/>
            <c:showLegendKey val="0"/>
            <c:showVal val="0"/>
            <c:showCatName val="0"/>
            <c:showSerName val="1"/>
            <c:showPercent val="0"/>
            <c:showBubbleSize val="0"/>
            <c:showLeaderLines val="0"/>
          </c:dLbls>
          <c:xVal>
            <c:numRef>
              <c:f>'Linear Drainage - UK Catchment'!$HB$14</c:f>
              <c:numCache>
                <c:formatCode>General</c:formatCode>
                <c:ptCount val="1"/>
                <c:pt idx="0">
                  <c:v>-0.1</c:v>
                </c:pt>
              </c:numCache>
            </c:numRef>
          </c:xVal>
          <c:yVal>
            <c:numRef>
              <c:f>'Linear Drainage - UK Catchment'!$HC$14</c:f>
              <c:numCache>
                <c:formatCode>General</c:formatCode>
                <c:ptCount val="1"/>
                <c:pt idx="0">
                  <c:v>0.5</c:v>
                </c:pt>
              </c:numCache>
            </c:numRef>
          </c:yVal>
          <c:smooth val="1"/>
        </c:ser>
        <c:dLbls>
          <c:showLegendKey val="0"/>
          <c:showVal val="0"/>
          <c:showCatName val="0"/>
          <c:showSerName val="0"/>
          <c:showPercent val="0"/>
          <c:showBubbleSize val="0"/>
        </c:dLbls>
        <c:axId val="247843456"/>
        <c:axId val="345277952"/>
      </c:scatterChart>
      <c:valAx>
        <c:axId val="247843456"/>
        <c:scaling>
          <c:orientation val="minMax"/>
          <c:max val="1"/>
          <c:min val="-0.15000000000000011"/>
        </c:scaling>
        <c:delete val="1"/>
        <c:axPos val="b"/>
        <c:numFmt formatCode="General" sourceLinked="1"/>
        <c:majorTickMark val="out"/>
        <c:minorTickMark val="none"/>
        <c:tickLblPos val="none"/>
        <c:crossAx val="345277952"/>
        <c:crosses val="autoZero"/>
        <c:crossBetween val="midCat"/>
      </c:valAx>
      <c:valAx>
        <c:axId val="345277952"/>
        <c:scaling>
          <c:orientation val="minMax"/>
          <c:max val="1"/>
          <c:min val="-0.15000000000000011"/>
        </c:scaling>
        <c:delete val="1"/>
        <c:axPos val="l"/>
        <c:numFmt formatCode="General" sourceLinked="1"/>
        <c:majorTickMark val="out"/>
        <c:minorTickMark val="none"/>
        <c:tickLblPos val="none"/>
        <c:crossAx val="247843456"/>
        <c:crosses val="autoZero"/>
        <c:crossBetween val="midCat"/>
      </c:valAx>
    </c:plotArea>
    <c:plotVisOnly val="0"/>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1.6064257028112452E-2"/>
          <c:w val="0.99220272425763156"/>
          <c:h val="0.98393574297188768"/>
        </c:manualLayout>
      </c:layout>
      <c:scatterChart>
        <c:scatterStyle val="smoothMarker"/>
        <c:varyColors val="0"/>
        <c:ser>
          <c:idx val="0"/>
          <c:order val="0"/>
          <c:spPr>
            <a:ln>
              <a:solidFill>
                <a:srgbClr val="0070C0"/>
              </a:solidFill>
            </a:ln>
          </c:spPr>
          <c:marker>
            <c:symbol val="none"/>
          </c:marker>
          <c:xVal>
            <c:numRef>
              <c:f>'Linear Drainage - Known Inflow'!$FT$5:$FT$104</c:f>
              <c:numCache>
                <c:formatCode>General</c:formatCode>
                <c:ptCount val="100"/>
                <c:pt idx="0">
                  <c:v>0.5</c:v>
                </c:pt>
                <c:pt idx="1">
                  <c:v>0.75</c:v>
                </c:pt>
                <c:pt idx="2">
                  <c:v>0.75</c:v>
                </c:pt>
                <c:pt idx="3">
                  <c:v>0.5</c:v>
                </c:pt>
                <c:pt idx="4">
                  <c:v>0.25</c:v>
                </c:pt>
                <c:pt idx="5">
                  <c:v>0.25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numCache>
            </c:numRef>
          </c:xVal>
          <c:yVal>
            <c:numRef>
              <c:f>'Linear Drainage - Known Inflow'!$FU$5:$FU$104</c:f>
              <c:numCache>
                <c:formatCode>General</c:formatCode>
                <c:ptCount val="100"/>
                <c:pt idx="0">
                  <c:v>0.21600000000000003</c:v>
                </c:pt>
                <c:pt idx="1">
                  <c:v>0.40533333333333332</c:v>
                </c:pt>
                <c:pt idx="2">
                  <c:v>0.59466666666666668</c:v>
                </c:pt>
                <c:pt idx="3">
                  <c:v>0.78400000000000003</c:v>
                </c:pt>
                <c:pt idx="4">
                  <c:v>0.59466666666666668</c:v>
                </c:pt>
                <c:pt idx="5">
                  <c:v>0.40533333333333332</c:v>
                </c:pt>
                <c:pt idx="6">
                  <c:v>0.21600000000000003</c:v>
                </c:pt>
                <c:pt idx="7">
                  <c:v>0.21600000000000003</c:v>
                </c:pt>
                <c:pt idx="8">
                  <c:v>0.21600000000000003</c:v>
                </c:pt>
                <c:pt idx="9">
                  <c:v>0.21600000000000003</c:v>
                </c:pt>
                <c:pt idx="10">
                  <c:v>0.21600000000000003</c:v>
                </c:pt>
                <c:pt idx="11">
                  <c:v>0.21600000000000003</c:v>
                </c:pt>
                <c:pt idx="12">
                  <c:v>0.21600000000000003</c:v>
                </c:pt>
                <c:pt idx="13">
                  <c:v>0.21600000000000003</c:v>
                </c:pt>
                <c:pt idx="14">
                  <c:v>0.21600000000000003</c:v>
                </c:pt>
                <c:pt idx="15">
                  <c:v>0.21600000000000003</c:v>
                </c:pt>
                <c:pt idx="16">
                  <c:v>0.21600000000000003</c:v>
                </c:pt>
                <c:pt idx="17">
                  <c:v>0.21600000000000003</c:v>
                </c:pt>
                <c:pt idx="18">
                  <c:v>0.21600000000000003</c:v>
                </c:pt>
                <c:pt idx="19">
                  <c:v>0.21600000000000003</c:v>
                </c:pt>
                <c:pt idx="20">
                  <c:v>0.21600000000000003</c:v>
                </c:pt>
                <c:pt idx="21">
                  <c:v>0.21600000000000003</c:v>
                </c:pt>
                <c:pt idx="22">
                  <c:v>0.21600000000000003</c:v>
                </c:pt>
                <c:pt idx="23">
                  <c:v>0.21600000000000003</c:v>
                </c:pt>
                <c:pt idx="24">
                  <c:v>0.21600000000000003</c:v>
                </c:pt>
                <c:pt idx="25">
                  <c:v>0.21600000000000003</c:v>
                </c:pt>
                <c:pt idx="26">
                  <c:v>0.21600000000000003</c:v>
                </c:pt>
                <c:pt idx="27">
                  <c:v>0.21600000000000003</c:v>
                </c:pt>
                <c:pt idx="28">
                  <c:v>0.21600000000000003</c:v>
                </c:pt>
                <c:pt idx="29">
                  <c:v>0.21600000000000003</c:v>
                </c:pt>
                <c:pt idx="30">
                  <c:v>0.21600000000000003</c:v>
                </c:pt>
                <c:pt idx="31">
                  <c:v>0.21600000000000003</c:v>
                </c:pt>
                <c:pt idx="32">
                  <c:v>0.21600000000000003</c:v>
                </c:pt>
                <c:pt idx="33">
                  <c:v>0.21600000000000003</c:v>
                </c:pt>
                <c:pt idx="34">
                  <c:v>0.21600000000000003</c:v>
                </c:pt>
                <c:pt idx="35">
                  <c:v>0.21600000000000003</c:v>
                </c:pt>
                <c:pt idx="36">
                  <c:v>0.21600000000000003</c:v>
                </c:pt>
                <c:pt idx="37">
                  <c:v>0.21600000000000003</c:v>
                </c:pt>
                <c:pt idx="38">
                  <c:v>0.21600000000000003</c:v>
                </c:pt>
                <c:pt idx="39">
                  <c:v>0.21600000000000003</c:v>
                </c:pt>
                <c:pt idx="40">
                  <c:v>0.21600000000000003</c:v>
                </c:pt>
                <c:pt idx="41">
                  <c:v>0.21600000000000003</c:v>
                </c:pt>
                <c:pt idx="42">
                  <c:v>0.21600000000000003</c:v>
                </c:pt>
                <c:pt idx="43">
                  <c:v>0.21600000000000003</c:v>
                </c:pt>
                <c:pt idx="44">
                  <c:v>0.21600000000000003</c:v>
                </c:pt>
                <c:pt idx="45">
                  <c:v>0.21600000000000003</c:v>
                </c:pt>
                <c:pt idx="46">
                  <c:v>0.21600000000000003</c:v>
                </c:pt>
                <c:pt idx="47">
                  <c:v>0.21600000000000003</c:v>
                </c:pt>
                <c:pt idx="48">
                  <c:v>0.21600000000000003</c:v>
                </c:pt>
                <c:pt idx="49">
                  <c:v>0.21600000000000003</c:v>
                </c:pt>
                <c:pt idx="50">
                  <c:v>0.21600000000000003</c:v>
                </c:pt>
                <c:pt idx="51">
                  <c:v>0.21600000000000003</c:v>
                </c:pt>
                <c:pt idx="52">
                  <c:v>0.21600000000000003</c:v>
                </c:pt>
                <c:pt idx="53">
                  <c:v>0.21600000000000003</c:v>
                </c:pt>
                <c:pt idx="54">
                  <c:v>0.21600000000000003</c:v>
                </c:pt>
                <c:pt idx="55">
                  <c:v>0.21600000000000003</c:v>
                </c:pt>
                <c:pt idx="56">
                  <c:v>0.21600000000000003</c:v>
                </c:pt>
                <c:pt idx="57">
                  <c:v>0.21600000000000003</c:v>
                </c:pt>
                <c:pt idx="58">
                  <c:v>0.21600000000000003</c:v>
                </c:pt>
                <c:pt idx="59">
                  <c:v>0.21600000000000003</c:v>
                </c:pt>
                <c:pt idx="60">
                  <c:v>0.21600000000000003</c:v>
                </c:pt>
                <c:pt idx="61">
                  <c:v>0.21600000000000003</c:v>
                </c:pt>
                <c:pt idx="62">
                  <c:v>0.21600000000000003</c:v>
                </c:pt>
                <c:pt idx="63">
                  <c:v>0.21600000000000003</c:v>
                </c:pt>
                <c:pt idx="64">
                  <c:v>0.21600000000000003</c:v>
                </c:pt>
                <c:pt idx="65">
                  <c:v>0.21600000000000003</c:v>
                </c:pt>
                <c:pt idx="66">
                  <c:v>0.21600000000000003</c:v>
                </c:pt>
                <c:pt idx="67">
                  <c:v>0.21600000000000003</c:v>
                </c:pt>
                <c:pt idx="68">
                  <c:v>0.21600000000000003</c:v>
                </c:pt>
                <c:pt idx="69">
                  <c:v>0.21600000000000003</c:v>
                </c:pt>
                <c:pt idx="70">
                  <c:v>0.21600000000000003</c:v>
                </c:pt>
                <c:pt idx="71">
                  <c:v>0.21600000000000003</c:v>
                </c:pt>
                <c:pt idx="72">
                  <c:v>0.21600000000000003</c:v>
                </c:pt>
                <c:pt idx="73">
                  <c:v>0.21600000000000003</c:v>
                </c:pt>
                <c:pt idx="74">
                  <c:v>0.21600000000000003</c:v>
                </c:pt>
                <c:pt idx="75">
                  <c:v>0.21600000000000003</c:v>
                </c:pt>
                <c:pt idx="76">
                  <c:v>0.21600000000000003</c:v>
                </c:pt>
                <c:pt idx="77">
                  <c:v>0.21600000000000003</c:v>
                </c:pt>
                <c:pt idx="78">
                  <c:v>0.21600000000000003</c:v>
                </c:pt>
                <c:pt idx="79">
                  <c:v>0.21600000000000003</c:v>
                </c:pt>
                <c:pt idx="80">
                  <c:v>0.21600000000000003</c:v>
                </c:pt>
                <c:pt idx="81">
                  <c:v>0.21600000000000003</c:v>
                </c:pt>
                <c:pt idx="82">
                  <c:v>0.21600000000000003</c:v>
                </c:pt>
                <c:pt idx="83">
                  <c:v>0.21600000000000003</c:v>
                </c:pt>
                <c:pt idx="84">
                  <c:v>0.21600000000000003</c:v>
                </c:pt>
                <c:pt idx="85">
                  <c:v>0.21600000000000003</c:v>
                </c:pt>
                <c:pt idx="86">
                  <c:v>0.21600000000000003</c:v>
                </c:pt>
                <c:pt idx="87">
                  <c:v>0.21600000000000003</c:v>
                </c:pt>
                <c:pt idx="88">
                  <c:v>0.21600000000000003</c:v>
                </c:pt>
                <c:pt idx="89">
                  <c:v>0.21600000000000003</c:v>
                </c:pt>
                <c:pt idx="90">
                  <c:v>0.21600000000000003</c:v>
                </c:pt>
                <c:pt idx="91">
                  <c:v>0.21600000000000003</c:v>
                </c:pt>
                <c:pt idx="92">
                  <c:v>0.21600000000000003</c:v>
                </c:pt>
                <c:pt idx="93">
                  <c:v>0.21600000000000003</c:v>
                </c:pt>
                <c:pt idx="94">
                  <c:v>0.21600000000000003</c:v>
                </c:pt>
                <c:pt idx="95">
                  <c:v>0.21600000000000003</c:v>
                </c:pt>
                <c:pt idx="96">
                  <c:v>0.21600000000000003</c:v>
                </c:pt>
                <c:pt idx="97">
                  <c:v>0.21600000000000003</c:v>
                </c:pt>
                <c:pt idx="98">
                  <c:v>0.21600000000000003</c:v>
                </c:pt>
                <c:pt idx="99">
                  <c:v>0.21600000000000003</c:v>
                </c:pt>
              </c:numCache>
            </c:numRef>
          </c:yVal>
          <c:smooth val="0"/>
        </c:ser>
        <c:ser>
          <c:idx val="1"/>
          <c:order val="1"/>
          <c:spPr>
            <a:ln>
              <a:solidFill>
                <a:srgbClr val="92D050"/>
              </a:solidFill>
              <a:headEnd type="triangle"/>
              <a:tailEnd type="triangle"/>
            </a:ln>
          </c:spPr>
          <c:marker>
            <c:symbol val="none"/>
          </c:marker>
          <c:xVal>
            <c:numRef>
              <c:f>'Linear Drainage - Known Inflow'!$FW$5:$FW$6</c:f>
              <c:numCache>
                <c:formatCode>General</c:formatCode>
                <c:ptCount val="2"/>
                <c:pt idx="0">
                  <c:v>0.25</c:v>
                </c:pt>
                <c:pt idx="1">
                  <c:v>0.75</c:v>
                </c:pt>
              </c:numCache>
            </c:numRef>
          </c:xVal>
          <c:yVal>
            <c:numRef>
              <c:f>'Linear Drainage - Known Inflow'!$FX$5:$FX$6</c:f>
              <c:numCache>
                <c:formatCode>General</c:formatCode>
                <c:ptCount val="2"/>
                <c:pt idx="0">
                  <c:v>-0.1</c:v>
                </c:pt>
                <c:pt idx="1">
                  <c:v>-0.1</c:v>
                </c:pt>
              </c:numCache>
            </c:numRef>
          </c:yVal>
          <c:smooth val="1"/>
        </c:ser>
        <c:ser>
          <c:idx val="2"/>
          <c:order val="2"/>
          <c:spPr>
            <a:ln>
              <a:solidFill>
                <a:srgbClr val="92D050"/>
              </a:solidFill>
              <a:headEnd type="triangle"/>
              <a:tailEnd type="triangle"/>
            </a:ln>
          </c:spPr>
          <c:marker>
            <c:symbol val="none"/>
          </c:marker>
          <c:xVal>
            <c:numRef>
              <c:f>'Linear Drainage - Known Inflow'!$FW$8:$FW$9</c:f>
              <c:numCache>
                <c:formatCode>General</c:formatCode>
                <c:ptCount val="2"/>
                <c:pt idx="0">
                  <c:v>-0.1</c:v>
                </c:pt>
                <c:pt idx="1">
                  <c:v>-0.1</c:v>
                </c:pt>
              </c:numCache>
            </c:numRef>
          </c:xVal>
          <c:yVal>
            <c:numRef>
              <c:f>'Linear Drainage - Known Inflow'!$FX$8:$FX$9</c:f>
              <c:numCache>
                <c:formatCode>General</c:formatCode>
                <c:ptCount val="2"/>
                <c:pt idx="0">
                  <c:v>0.21600000000000003</c:v>
                </c:pt>
                <c:pt idx="1">
                  <c:v>0.78400000000000003</c:v>
                </c:pt>
              </c:numCache>
            </c:numRef>
          </c:yVal>
          <c:smooth val="1"/>
        </c:ser>
        <c:ser>
          <c:idx val="3"/>
          <c:order val="3"/>
          <c:tx>
            <c:strRef>
              <c:f>'Linear Drainage - Known Inflow'!$FV$11</c:f>
              <c:strCache>
                <c:ptCount val="1"/>
                <c:pt idx="0">
                  <c:v>0.5m</c:v>
                </c:pt>
              </c:strCache>
            </c:strRef>
          </c:tx>
          <c:marker>
            <c:symbol val="none"/>
          </c:marker>
          <c:dLbls>
            <c:spPr>
              <a:ln>
                <a:noFill/>
              </a:ln>
            </c:spPr>
            <c:txPr>
              <a:bodyPr rot="0" vert="horz"/>
              <a:lstStyle/>
              <a:p>
                <a:pPr>
                  <a:defRPr sz="800"/>
                </a:pPr>
                <a:endParaRPr lang="en-US"/>
              </a:p>
            </c:txPr>
            <c:dLblPos val="ctr"/>
            <c:showLegendKey val="0"/>
            <c:showVal val="0"/>
            <c:showCatName val="0"/>
            <c:showSerName val="1"/>
            <c:showPercent val="0"/>
            <c:showBubbleSize val="0"/>
            <c:showLeaderLines val="0"/>
          </c:dLbls>
          <c:xVal>
            <c:numRef>
              <c:f>'Linear Drainage - Known Inflow'!$FW$11</c:f>
              <c:numCache>
                <c:formatCode>General</c:formatCode>
                <c:ptCount val="1"/>
                <c:pt idx="0">
                  <c:v>0.5</c:v>
                </c:pt>
              </c:numCache>
            </c:numRef>
          </c:xVal>
          <c:yVal>
            <c:numRef>
              <c:f>'Linear Drainage - Known Inflow'!$FX$11</c:f>
              <c:numCache>
                <c:formatCode>General</c:formatCode>
                <c:ptCount val="1"/>
                <c:pt idx="0">
                  <c:v>-0.1</c:v>
                </c:pt>
              </c:numCache>
            </c:numRef>
          </c:yVal>
          <c:smooth val="1"/>
        </c:ser>
        <c:ser>
          <c:idx val="4"/>
          <c:order val="4"/>
          <c:tx>
            <c:strRef>
              <c:f>'Linear Drainage - Known Inflow'!$FV$14</c:f>
              <c:strCache>
                <c:ptCount val="1"/>
                <c:pt idx="0">
                  <c:v>0.57m</c:v>
                </c:pt>
              </c:strCache>
            </c:strRef>
          </c:tx>
          <c:marker>
            <c:symbol val="none"/>
          </c:marker>
          <c:dLbls>
            <c:txPr>
              <a:bodyPr rot="-5400000" vert="horz"/>
              <a:lstStyle/>
              <a:p>
                <a:pPr>
                  <a:defRPr sz="800"/>
                </a:pPr>
                <a:endParaRPr lang="en-US"/>
              </a:p>
            </c:txPr>
            <c:dLblPos val="ctr"/>
            <c:showLegendKey val="0"/>
            <c:showVal val="0"/>
            <c:showCatName val="0"/>
            <c:showSerName val="1"/>
            <c:showPercent val="0"/>
            <c:showBubbleSize val="0"/>
            <c:showLeaderLines val="0"/>
          </c:dLbls>
          <c:xVal>
            <c:numRef>
              <c:f>'Linear Drainage - Known Inflow'!$FW$14</c:f>
              <c:numCache>
                <c:formatCode>General</c:formatCode>
                <c:ptCount val="1"/>
                <c:pt idx="0">
                  <c:v>-0.1</c:v>
                </c:pt>
              </c:numCache>
            </c:numRef>
          </c:xVal>
          <c:yVal>
            <c:numRef>
              <c:f>'Linear Drainage - Known Inflow'!$FX$14</c:f>
              <c:numCache>
                <c:formatCode>General</c:formatCode>
                <c:ptCount val="1"/>
                <c:pt idx="0">
                  <c:v>0.5</c:v>
                </c:pt>
              </c:numCache>
            </c:numRef>
          </c:yVal>
          <c:smooth val="1"/>
        </c:ser>
        <c:dLbls>
          <c:showLegendKey val="0"/>
          <c:showVal val="0"/>
          <c:showCatName val="0"/>
          <c:showSerName val="0"/>
          <c:showPercent val="0"/>
          <c:showBubbleSize val="0"/>
        </c:dLbls>
        <c:axId val="159650560"/>
        <c:axId val="159652096"/>
      </c:scatterChart>
      <c:valAx>
        <c:axId val="159650560"/>
        <c:scaling>
          <c:orientation val="minMax"/>
          <c:max val="1"/>
          <c:min val="-0.15000000000000005"/>
        </c:scaling>
        <c:delete val="1"/>
        <c:axPos val="b"/>
        <c:numFmt formatCode="General" sourceLinked="1"/>
        <c:majorTickMark val="out"/>
        <c:minorTickMark val="none"/>
        <c:tickLblPos val="none"/>
        <c:crossAx val="159652096"/>
        <c:crosses val="autoZero"/>
        <c:crossBetween val="midCat"/>
      </c:valAx>
      <c:valAx>
        <c:axId val="159652096"/>
        <c:scaling>
          <c:orientation val="minMax"/>
          <c:max val="1"/>
          <c:min val="-0.15000000000000005"/>
        </c:scaling>
        <c:delete val="1"/>
        <c:axPos val="l"/>
        <c:numFmt formatCode="General" sourceLinked="1"/>
        <c:majorTickMark val="out"/>
        <c:minorTickMark val="none"/>
        <c:tickLblPos val="none"/>
        <c:crossAx val="159650560"/>
        <c:crosses val="autoZero"/>
        <c:crossBetween val="midCat"/>
      </c:valAx>
    </c:plotArea>
    <c:plotVisOnly val="0"/>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rgbClr val="0070C0"/>
              </a:solidFill>
            </a:ln>
          </c:spPr>
          <c:marker>
            <c:symbol val="none"/>
          </c:marker>
          <c:xVal>
            <c:numRef>
              <c:f>'Linear Drainage - Known Inflow'!$CB$66:$CB$80</c:f>
              <c:numCache>
                <c:formatCode>General</c:formatCode>
                <c:ptCount val="15"/>
                <c:pt idx="0">
                  <c:v>0</c:v>
                </c:pt>
                <c:pt idx="1">
                  <c:v>0.01</c:v>
                </c:pt>
                <c:pt idx="2">
                  <c:v>0.05</c:v>
                </c:pt>
                <c:pt idx="3">
                  <c:v>0.1</c:v>
                </c:pt>
                <c:pt idx="4">
                  <c:v>0.5</c:v>
                </c:pt>
                <c:pt idx="5">
                  <c:v>1</c:v>
                </c:pt>
                <c:pt idx="6">
                  <c:v>2</c:v>
                </c:pt>
                <c:pt idx="7">
                  <c:v>3</c:v>
                </c:pt>
                <c:pt idx="8">
                  <c:v>4</c:v>
                </c:pt>
                <c:pt idx="9">
                  <c:v>5</c:v>
                </c:pt>
                <c:pt idx="10">
                  <c:v>6</c:v>
                </c:pt>
                <c:pt idx="11">
                  <c:v>7</c:v>
                </c:pt>
                <c:pt idx="12">
                  <c:v>8</c:v>
                </c:pt>
                <c:pt idx="13">
                  <c:v>9</c:v>
                </c:pt>
                <c:pt idx="14">
                  <c:v>10</c:v>
                </c:pt>
              </c:numCache>
            </c:numRef>
          </c:xVal>
          <c:yVal>
            <c:numRef>
              <c:f>'Linear Drainage - Known Inflow'!$CC$66:$CC$80</c:f>
              <c:numCache>
                <c:formatCode>General</c:formatCode>
                <c:ptCount val="15"/>
                <c:pt idx="0">
                  <c:v>187.55463850845086</c:v>
                </c:pt>
                <c:pt idx="1">
                  <c:v>191.75074359858817</c:v>
                </c:pt>
                <c:pt idx="2">
                  <c:v>200.50033316918345</c:v>
                </c:pt>
                <c:pt idx="3">
                  <c:v>208.58498152980326</c:v>
                </c:pt>
                <c:pt idx="4">
                  <c:v>252.43680745241019</c:v>
                </c:pt>
                <c:pt idx="5">
                  <c:v>292.956032919493</c:v>
                </c:pt>
                <c:pt idx="6">
                  <c:v>358.77970888776622</c:v>
                </c:pt>
                <c:pt idx="7">
                  <c:v>414.97598929564214</c:v>
                </c:pt>
                <c:pt idx="8">
                  <c:v>465.71058597217882</c:v>
                </c:pt>
                <c:pt idx="9">
                  <c:v>512.73578615605379</c:v>
                </c:pt>
                <c:pt idx="10">
                  <c:v>557.00171282738745</c:v>
                </c:pt>
                <c:pt idx="11">
                  <c:v>599.09741613522692</c:v>
                </c:pt>
                <c:pt idx="12">
                  <c:v>639.42030828475527</c:v>
                </c:pt>
                <c:pt idx="13">
                  <c:v>678.25470071229927</c:v>
                </c:pt>
                <c:pt idx="14">
                  <c:v>715.81297136172338</c:v>
                </c:pt>
              </c:numCache>
            </c:numRef>
          </c:yVal>
          <c:smooth val="1"/>
        </c:ser>
        <c:ser>
          <c:idx val="1"/>
          <c:order val="1"/>
          <c:spPr>
            <a:ln w="19050">
              <a:solidFill>
                <a:srgbClr val="FF0000"/>
              </a:solidFill>
              <a:prstDash val="dashDot"/>
            </a:ln>
          </c:spPr>
          <c:marker>
            <c:symbol val="none"/>
          </c:marker>
          <c:dLbls>
            <c:dLbl>
              <c:idx val="0"/>
              <c:layout>
                <c:manualLayout>
                  <c:x val="-3.1771453016590241E-2"/>
                  <c:y val="-2.8544198965420584E-3"/>
                </c:manualLayout>
              </c:layout>
              <c:dLblPos val="r"/>
              <c:showLegendKey val="0"/>
              <c:showVal val="1"/>
              <c:showCatName val="0"/>
              <c:showSerName val="0"/>
              <c:showPercent val="0"/>
              <c:showBubbleSize val="0"/>
            </c:dLbl>
            <c:showLegendKey val="0"/>
            <c:showVal val="0"/>
            <c:showCatName val="0"/>
            <c:showSerName val="0"/>
            <c:showPercent val="0"/>
            <c:showBubbleSize val="0"/>
          </c:dLbls>
          <c:xVal>
            <c:numRef>
              <c:f>'Linear Drainage - Known Inflow'!$CB$83:$CB$85</c:f>
              <c:numCache>
                <c:formatCode>General</c:formatCode>
                <c:ptCount val="3"/>
                <c:pt idx="0">
                  <c:v>0</c:v>
                </c:pt>
                <c:pt idx="1">
                  <c:v>1</c:v>
                </c:pt>
                <c:pt idx="2">
                  <c:v>1</c:v>
                </c:pt>
              </c:numCache>
            </c:numRef>
          </c:xVal>
          <c:yVal>
            <c:numRef>
              <c:f>'Linear Drainage - Known Inflow'!$CC$83:$CC$85</c:f>
              <c:numCache>
                <c:formatCode>#,##0</c:formatCode>
                <c:ptCount val="3"/>
                <c:pt idx="0">
                  <c:v>292.956032919493</c:v>
                </c:pt>
                <c:pt idx="1">
                  <c:v>292.956032919493</c:v>
                </c:pt>
                <c:pt idx="2" formatCode="General">
                  <c:v>0</c:v>
                </c:pt>
              </c:numCache>
            </c:numRef>
          </c:yVal>
          <c:smooth val="0"/>
        </c:ser>
        <c:dLbls>
          <c:showLegendKey val="0"/>
          <c:showVal val="0"/>
          <c:showCatName val="0"/>
          <c:showSerName val="0"/>
          <c:showPercent val="0"/>
          <c:showBubbleSize val="0"/>
        </c:dLbls>
        <c:axId val="158759552"/>
        <c:axId val="158761728"/>
      </c:scatterChart>
      <c:valAx>
        <c:axId val="158759552"/>
        <c:scaling>
          <c:orientation val="minMax"/>
          <c:max val="10"/>
          <c:min val="0"/>
        </c:scaling>
        <c:delete val="0"/>
        <c:axPos val="b"/>
        <c:title>
          <c:tx>
            <c:rich>
              <a:bodyPr/>
              <a:lstStyle/>
              <a:p>
                <a:pPr>
                  <a:defRPr/>
                </a:pPr>
                <a:r>
                  <a:rPr lang="en-GB"/>
                  <a:t>Ground Slope </a:t>
                </a:r>
                <a:r>
                  <a:rPr lang="en-GB" baseline="0"/>
                  <a:t>(%)</a:t>
                </a:r>
                <a:endParaRPr lang="en-GB"/>
              </a:p>
            </c:rich>
          </c:tx>
          <c:layout/>
          <c:overlay val="0"/>
        </c:title>
        <c:numFmt formatCode="General" sourceLinked="1"/>
        <c:majorTickMark val="out"/>
        <c:minorTickMark val="none"/>
        <c:tickLblPos val="nextTo"/>
        <c:crossAx val="158761728"/>
        <c:crosses val="autoZero"/>
        <c:crossBetween val="midCat"/>
      </c:valAx>
      <c:valAx>
        <c:axId val="158761728"/>
        <c:scaling>
          <c:orientation val="minMax"/>
        </c:scaling>
        <c:delete val="0"/>
        <c:axPos val="l"/>
        <c:majorGridlines/>
        <c:title>
          <c:tx>
            <c:rich>
              <a:bodyPr rot="-5400000" vert="horz"/>
              <a:lstStyle/>
              <a:p>
                <a:pPr>
                  <a:defRPr/>
                </a:pPr>
                <a:r>
                  <a:rPr lang="en-GB"/>
                  <a:t>Channel Flow Capacity (l/s)</a:t>
                </a:r>
              </a:p>
            </c:rich>
          </c:tx>
          <c:layout/>
          <c:overlay val="0"/>
        </c:title>
        <c:numFmt formatCode="General" sourceLinked="1"/>
        <c:majorTickMark val="out"/>
        <c:minorTickMark val="none"/>
        <c:tickLblPos val="nextTo"/>
        <c:crossAx val="158759552"/>
        <c:crosses val="autoZero"/>
        <c:crossBetween val="midCat"/>
      </c:valAx>
    </c:plotArea>
    <c:plotVisOnly val="0"/>
    <c:dispBlanksAs val="gap"/>
    <c:showDLblsOverMax val="0"/>
  </c:chart>
  <c:spPr>
    <a:solidFill>
      <a:schemeClr val="bg1">
        <a:lumMod val="95000"/>
      </a:schemeClr>
    </a:solidFill>
    <a:ln w="31750">
      <a:solidFill>
        <a:srgbClr val="69D8FF"/>
      </a:solidFill>
    </a:ln>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1.6064257028112459E-2"/>
          <c:w val="0.99220272425763123"/>
          <c:h val="0.98393574297188768"/>
        </c:manualLayout>
      </c:layout>
      <c:scatterChart>
        <c:scatterStyle val="smoothMarker"/>
        <c:varyColors val="0"/>
        <c:ser>
          <c:idx val="0"/>
          <c:order val="0"/>
          <c:spPr>
            <a:ln>
              <a:solidFill>
                <a:srgbClr val="0070C0"/>
              </a:solidFill>
            </a:ln>
          </c:spPr>
          <c:marker>
            <c:symbol val="none"/>
          </c:marker>
          <c:xVal>
            <c:numRef>
              <c:f>'Linear Drainage - Known Inflow'!$GY$5:$GY$104</c:f>
              <c:numCache>
                <c:formatCode>General</c:formatCode>
                <c:ptCount val="100"/>
                <c:pt idx="0">
                  <c:v>0.5</c:v>
                </c:pt>
                <c:pt idx="1">
                  <c:v>0.75</c:v>
                </c:pt>
                <c:pt idx="2">
                  <c:v>0.75</c:v>
                </c:pt>
                <c:pt idx="3">
                  <c:v>0.5</c:v>
                </c:pt>
                <c:pt idx="4">
                  <c:v>0.25</c:v>
                </c:pt>
                <c:pt idx="5">
                  <c:v>0.25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numCache>
            </c:numRef>
          </c:xVal>
          <c:yVal>
            <c:numRef>
              <c:f>'Linear Drainage - Known Inflow'!$GZ$5:$GZ$104</c:f>
              <c:numCache>
                <c:formatCode>General</c:formatCode>
                <c:ptCount val="100"/>
                <c:pt idx="0">
                  <c:v>0.21600000000000003</c:v>
                </c:pt>
                <c:pt idx="1">
                  <c:v>0.40533333333333332</c:v>
                </c:pt>
                <c:pt idx="2">
                  <c:v>0.59466666666666668</c:v>
                </c:pt>
                <c:pt idx="3">
                  <c:v>0.78400000000000003</c:v>
                </c:pt>
                <c:pt idx="4">
                  <c:v>0.59466666666666668</c:v>
                </c:pt>
                <c:pt idx="5">
                  <c:v>0.40533333333333332</c:v>
                </c:pt>
                <c:pt idx="6">
                  <c:v>0.21600000000000003</c:v>
                </c:pt>
                <c:pt idx="7">
                  <c:v>0.21600000000000003</c:v>
                </c:pt>
                <c:pt idx="8">
                  <c:v>0.21600000000000003</c:v>
                </c:pt>
                <c:pt idx="9">
                  <c:v>0.21600000000000003</c:v>
                </c:pt>
                <c:pt idx="10">
                  <c:v>0.21600000000000003</c:v>
                </c:pt>
                <c:pt idx="11">
                  <c:v>0.21600000000000003</c:v>
                </c:pt>
                <c:pt idx="12">
                  <c:v>0.21600000000000003</c:v>
                </c:pt>
                <c:pt idx="13">
                  <c:v>0.21600000000000003</c:v>
                </c:pt>
                <c:pt idx="14">
                  <c:v>0.21600000000000003</c:v>
                </c:pt>
                <c:pt idx="15">
                  <c:v>0.21600000000000003</c:v>
                </c:pt>
                <c:pt idx="16">
                  <c:v>0.21600000000000003</c:v>
                </c:pt>
                <c:pt idx="17">
                  <c:v>0.21600000000000003</c:v>
                </c:pt>
                <c:pt idx="18">
                  <c:v>0.21600000000000003</c:v>
                </c:pt>
                <c:pt idx="19">
                  <c:v>0.21600000000000003</c:v>
                </c:pt>
                <c:pt idx="20">
                  <c:v>0.21600000000000003</c:v>
                </c:pt>
                <c:pt idx="21">
                  <c:v>0.21600000000000003</c:v>
                </c:pt>
                <c:pt idx="22">
                  <c:v>0.21600000000000003</c:v>
                </c:pt>
                <c:pt idx="23">
                  <c:v>0.21600000000000003</c:v>
                </c:pt>
                <c:pt idx="24">
                  <c:v>0.21600000000000003</c:v>
                </c:pt>
                <c:pt idx="25">
                  <c:v>0.21600000000000003</c:v>
                </c:pt>
                <c:pt idx="26">
                  <c:v>0.21600000000000003</c:v>
                </c:pt>
                <c:pt idx="27">
                  <c:v>0.21600000000000003</c:v>
                </c:pt>
                <c:pt idx="28">
                  <c:v>0.21600000000000003</c:v>
                </c:pt>
                <c:pt idx="29">
                  <c:v>0.21600000000000003</c:v>
                </c:pt>
                <c:pt idx="30">
                  <c:v>0.21600000000000003</c:v>
                </c:pt>
                <c:pt idx="31">
                  <c:v>0.21600000000000003</c:v>
                </c:pt>
                <c:pt idx="32">
                  <c:v>0.21600000000000003</c:v>
                </c:pt>
                <c:pt idx="33">
                  <c:v>0.21600000000000003</c:v>
                </c:pt>
                <c:pt idx="34">
                  <c:v>0.21600000000000003</c:v>
                </c:pt>
                <c:pt idx="35">
                  <c:v>0.21600000000000003</c:v>
                </c:pt>
                <c:pt idx="36">
                  <c:v>0.21600000000000003</c:v>
                </c:pt>
                <c:pt idx="37">
                  <c:v>0.21600000000000003</c:v>
                </c:pt>
                <c:pt idx="38">
                  <c:v>0.21600000000000003</c:v>
                </c:pt>
                <c:pt idx="39">
                  <c:v>0.21600000000000003</c:v>
                </c:pt>
                <c:pt idx="40">
                  <c:v>0.21600000000000003</c:v>
                </c:pt>
                <c:pt idx="41">
                  <c:v>0.21600000000000003</c:v>
                </c:pt>
                <c:pt idx="42">
                  <c:v>0.21600000000000003</c:v>
                </c:pt>
                <c:pt idx="43">
                  <c:v>0.21600000000000003</c:v>
                </c:pt>
                <c:pt idx="44">
                  <c:v>0.21600000000000003</c:v>
                </c:pt>
                <c:pt idx="45">
                  <c:v>0.21600000000000003</c:v>
                </c:pt>
                <c:pt idx="46">
                  <c:v>0.21600000000000003</c:v>
                </c:pt>
                <c:pt idx="47">
                  <c:v>0.21600000000000003</c:v>
                </c:pt>
                <c:pt idx="48">
                  <c:v>0.21600000000000003</c:v>
                </c:pt>
                <c:pt idx="49">
                  <c:v>0.21600000000000003</c:v>
                </c:pt>
                <c:pt idx="50">
                  <c:v>0.21600000000000003</c:v>
                </c:pt>
                <c:pt idx="51">
                  <c:v>0.21600000000000003</c:v>
                </c:pt>
                <c:pt idx="52">
                  <c:v>0.21600000000000003</c:v>
                </c:pt>
                <c:pt idx="53">
                  <c:v>0.21600000000000003</c:v>
                </c:pt>
                <c:pt idx="54">
                  <c:v>0.21600000000000003</c:v>
                </c:pt>
                <c:pt idx="55">
                  <c:v>0.21600000000000003</c:v>
                </c:pt>
                <c:pt idx="56">
                  <c:v>0.21600000000000003</c:v>
                </c:pt>
                <c:pt idx="57">
                  <c:v>0.21600000000000003</c:v>
                </c:pt>
                <c:pt idx="58">
                  <c:v>0.21600000000000003</c:v>
                </c:pt>
                <c:pt idx="59">
                  <c:v>0.21600000000000003</c:v>
                </c:pt>
                <c:pt idx="60">
                  <c:v>0.21600000000000003</c:v>
                </c:pt>
                <c:pt idx="61">
                  <c:v>0.21600000000000003</c:v>
                </c:pt>
                <c:pt idx="62">
                  <c:v>0.21600000000000003</c:v>
                </c:pt>
                <c:pt idx="63">
                  <c:v>0.21600000000000003</c:v>
                </c:pt>
                <c:pt idx="64">
                  <c:v>0.21600000000000003</c:v>
                </c:pt>
                <c:pt idx="65">
                  <c:v>0.21600000000000003</c:v>
                </c:pt>
                <c:pt idx="66">
                  <c:v>0.21600000000000003</c:v>
                </c:pt>
                <c:pt idx="67">
                  <c:v>0.21600000000000003</c:v>
                </c:pt>
                <c:pt idx="68">
                  <c:v>0.21600000000000003</c:v>
                </c:pt>
                <c:pt idx="69">
                  <c:v>0.21600000000000003</c:v>
                </c:pt>
                <c:pt idx="70">
                  <c:v>0.21600000000000003</c:v>
                </c:pt>
                <c:pt idx="71">
                  <c:v>0.21600000000000003</c:v>
                </c:pt>
                <c:pt idx="72">
                  <c:v>0.21600000000000003</c:v>
                </c:pt>
                <c:pt idx="73">
                  <c:v>0.21600000000000003</c:v>
                </c:pt>
                <c:pt idx="74">
                  <c:v>0.21600000000000003</c:v>
                </c:pt>
                <c:pt idx="75">
                  <c:v>0.21600000000000003</c:v>
                </c:pt>
                <c:pt idx="76">
                  <c:v>0.21600000000000003</c:v>
                </c:pt>
                <c:pt idx="77">
                  <c:v>0.21600000000000003</c:v>
                </c:pt>
                <c:pt idx="78">
                  <c:v>0.21600000000000003</c:v>
                </c:pt>
                <c:pt idx="79">
                  <c:v>0.21600000000000003</c:v>
                </c:pt>
                <c:pt idx="80">
                  <c:v>0.21600000000000003</c:v>
                </c:pt>
                <c:pt idx="81">
                  <c:v>0.21600000000000003</c:v>
                </c:pt>
                <c:pt idx="82">
                  <c:v>0.21600000000000003</c:v>
                </c:pt>
                <c:pt idx="83">
                  <c:v>0.21600000000000003</c:v>
                </c:pt>
                <c:pt idx="84">
                  <c:v>0.21600000000000003</c:v>
                </c:pt>
                <c:pt idx="85">
                  <c:v>0.21600000000000003</c:v>
                </c:pt>
                <c:pt idx="86">
                  <c:v>0.21600000000000003</c:v>
                </c:pt>
                <c:pt idx="87">
                  <c:v>0.21600000000000003</c:v>
                </c:pt>
                <c:pt idx="88">
                  <c:v>0.21600000000000003</c:v>
                </c:pt>
                <c:pt idx="89">
                  <c:v>0.21600000000000003</c:v>
                </c:pt>
                <c:pt idx="90">
                  <c:v>0.21600000000000003</c:v>
                </c:pt>
                <c:pt idx="91">
                  <c:v>0.21600000000000003</c:v>
                </c:pt>
                <c:pt idx="92">
                  <c:v>0.21600000000000003</c:v>
                </c:pt>
                <c:pt idx="93">
                  <c:v>0.21600000000000003</c:v>
                </c:pt>
                <c:pt idx="94">
                  <c:v>0.21600000000000003</c:v>
                </c:pt>
                <c:pt idx="95">
                  <c:v>0.21600000000000003</c:v>
                </c:pt>
                <c:pt idx="96">
                  <c:v>0.21600000000000003</c:v>
                </c:pt>
                <c:pt idx="97">
                  <c:v>0.21600000000000003</c:v>
                </c:pt>
                <c:pt idx="98">
                  <c:v>0.21600000000000003</c:v>
                </c:pt>
                <c:pt idx="99">
                  <c:v>0.21600000000000003</c:v>
                </c:pt>
              </c:numCache>
            </c:numRef>
          </c:yVal>
          <c:smooth val="0"/>
        </c:ser>
        <c:ser>
          <c:idx val="1"/>
          <c:order val="1"/>
          <c:spPr>
            <a:ln>
              <a:solidFill>
                <a:srgbClr val="92D050"/>
              </a:solidFill>
              <a:headEnd type="triangle"/>
              <a:tailEnd type="triangle"/>
            </a:ln>
          </c:spPr>
          <c:marker>
            <c:symbol val="none"/>
          </c:marker>
          <c:xVal>
            <c:numRef>
              <c:f>'Linear Drainage - Known Inflow'!$HB$5:$HB$6</c:f>
              <c:numCache>
                <c:formatCode>General</c:formatCode>
                <c:ptCount val="2"/>
                <c:pt idx="0">
                  <c:v>0.25</c:v>
                </c:pt>
                <c:pt idx="1">
                  <c:v>0.75</c:v>
                </c:pt>
              </c:numCache>
            </c:numRef>
          </c:xVal>
          <c:yVal>
            <c:numRef>
              <c:f>'Linear Drainage - Known Inflow'!$HC$5:$HC$6</c:f>
              <c:numCache>
                <c:formatCode>General</c:formatCode>
                <c:ptCount val="2"/>
                <c:pt idx="0">
                  <c:v>-0.1</c:v>
                </c:pt>
                <c:pt idx="1">
                  <c:v>-0.1</c:v>
                </c:pt>
              </c:numCache>
            </c:numRef>
          </c:yVal>
          <c:smooth val="1"/>
        </c:ser>
        <c:ser>
          <c:idx val="2"/>
          <c:order val="2"/>
          <c:spPr>
            <a:ln>
              <a:solidFill>
                <a:srgbClr val="92D050"/>
              </a:solidFill>
              <a:headEnd type="triangle"/>
              <a:tailEnd type="triangle"/>
            </a:ln>
          </c:spPr>
          <c:marker>
            <c:symbol val="none"/>
          </c:marker>
          <c:xVal>
            <c:numRef>
              <c:f>'Linear Drainage - Known Inflow'!$HB$8:$HB$9</c:f>
              <c:numCache>
                <c:formatCode>General</c:formatCode>
                <c:ptCount val="2"/>
                <c:pt idx="0">
                  <c:v>-0.1</c:v>
                </c:pt>
                <c:pt idx="1">
                  <c:v>-0.1</c:v>
                </c:pt>
              </c:numCache>
            </c:numRef>
          </c:xVal>
          <c:yVal>
            <c:numRef>
              <c:f>'Linear Drainage - Known Inflow'!$HC$8:$HC$9</c:f>
              <c:numCache>
                <c:formatCode>General</c:formatCode>
                <c:ptCount val="2"/>
                <c:pt idx="0">
                  <c:v>0.21600000000000003</c:v>
                </c:pt>
                <c:pt idx="1">
                  <c:v>0.78400000000000003</c:v>
                </c:pt>
              </c:numCache>
            </c:numRef>
          </c:yVal>
          <c:smooth val="1"/>
        </c:ser>
        <c:ser>
          <c:idx val="3"/>
          <c:order val="3"/>
          <c:tx>
            <c:strRef>
              <c:f>'Linear Drainage - Known Inflow'!$HA$11</c:f>
              <c:strCache>
                <c:ptCount val="1"/>
                <c:pt idx="0">
                  <c:v>0.5m</c:v>
                </c:pt>
              </c:strCache>
            </c:strRef>
          </c:tx>
          <c:marker>
            <c:symbol val="none"/>
          </c:marker>
          <c:dLbls>
            <c:spPr>
              <a:ln>
                <a:noFill/>
              </a:ln>
            </c:spPr>
            <c:txPr>
              <a:bodyPr rot="0" vert="horz"/>
              <a:lstStyle/>
              <a:p>
                <a:pPr>
                  <a:defRPr sz="800"/>
                </a:pPr>
                <a:endParaRPr lang="en-US"/>
              </a:p>
            </c:txPr>
            <c:dLblPos val="ctr"/>
            <c:showLegendKey val="0"/>
            <c:showVal val="0"/>
            <c:showCatName val="0"/>
            <c:showSerName val="1"/>
            <c:showPercent val="0"/>
            <c:showBubbleSize val="0"/>
            <c:showLeaderLines val="0"/>
          </c:dLbls>
          <c:xVal>
            <c:numRef>
              <c:f>'Linear Drainage - Known Inflow'!$HB$11</c:f>
              <c:numCache>
                <c:formatCode>General</c:formatCode>
                <c:ptCount val="1"/>
                <c:pt idx="0">
                  <c:v>0.5</c:v>
                </c:pt>
              </c:numCache>
            </c:numRef>
          </c:xVal>
          <c:yVal>
            <c:numRef>
              <c:f>'Linear Drainage - Known Inflow'!$HC$11</c:f>
              <c:numCache>
                <c:formatCode>General</c:formatCode>
                <c:ptCount val="1"/>
                <c:pt idx="0">
                  <c:v>-0.1</c:v>
                </c:pt>
              </c:numCache>
            </c:numRef>
          </c:yVal>
          <c:smooth val="1"/>
        </c:ser>
        <c:ser>
          <c:idx val="4"/>
          <c:order val="4"/>
          <c:tx>
            <c:strRef>
              <c:f>'Linear Drainage - Known Inflow'!$HA$14</c:f>
              <c:strCache>
                <c:ptCount val="1"/>
                <c:pt idx="0">
                  <c:v>0.57m</c:v>
                </c:pt>
              </c:strCache>
            </c:strRef>
          </c:tx>
          <c:marker>
            <c:symbol val="none"/>
          </c:marker>
          <c:dLbls>
            <c:txPr>
              <a:bodyPr rot="-5400000" vert="horz"/>
              <a:lstStyle/>
              <a:p>
                <a:pPr>
                  <a:defRPr sz="800"/>
                </a:pPr>
                <a:endParaRPr lang="en-US"/>
              </a:p>
            </c:txPr>
            <c:dLblPos val="ctr"/>
            <c:showLegendKey val="0"/>
            <c:showVal val="0"/>
            <c:showCatName val="0"/>
            <c:showSerName val="1"/>
            <c:showPercent val="0"/>
            <c:showBubbleSize val="0"/>
            <c:showLeaderLines val="0"/>
          </c:dLbls>
          <c:xVal>
            <c:numRef>
              <c:f>'Linear Drainage - Known Inflow'!$HB$14</c:f>
              <c:numCache>
                <c:formatCode>General</c:formatCode>
                <c:ptCount val="1"/>
                <c:pt idx="0">
                  <c:v>-0.1</c:v>
                </c:pt>
              </c:numCache>
            </c:numRef>
          </c:xVal>
          <c:yVal>
            <c:numRef>
              <c:f>'Linear Drainage - Known Inflow'!$HC$14</c:f>
              <c:numCache>
                <c:formatCode>General</c:formatCode>
                <c:ptCount val="1"/>
                <c:pt idx="0">
                  <c:v>0.5</c:v>
                </c:pt>
              </c:numCache>
            </c:numRef>
          </c:yVal>
          <c:smooth val="1"/>
        </c:ser>
        <c:dLbls>
          <c:showLegendKey val="0"/>
          <c:showVal val="0"/>
          <c:showCatName val="0"/>
          <c:showSerName val="0"/>
          <c:showPercent val="0"/>
          <c:showBubbleSize val="0"/>
        </c:dLbls>
        <c:axId val="159687040"/>
        <c:axId val="159688576"/>
      </c:scatterChart>
      <c:valAx>
        <c:axId val="159687040"/>
        <c:scaling>
          <c:orientation val="minMax"/>
          <c:max val="1"/>
          <c:min val="-0.15000000000000011"/>
        </c:scaling>
        <c:delete val="1"/>
        <c:axPos val="b"/>
        <c:numFmt formatCode="General" sourceLinked="1"/>
        <c:majorTickMark val="out"/>
        <c:minorTickMark val="none"/>
        <c:tickLblPos val="none"/>
        <c:crossAx val="159688576"/>
        <c:crosses val="autoZero"/>
        <c:crossBetween val="midCat"/>
      </c:valAx>
      <c:valAx>
        <c:axId val="159688576"/>
        <c:scaling>
          <c:orientation val="minMax"/>
          <c:max val="1"/>
          <c:min val="-0.15000000000000011"/>
        </c:scaling>
        <c:delete val="1"/>
        <c:axPos val="l"/>
        <c:numFmt formatCode="General" sourceLinked="1"/>
        <c:majorTickMark val="out"/>
        <c:minorTickMark val="none"/>
        <c:tickLblPos val="none"/>
        <c:crossAx val="159687040"/>
        <c:crosses val="autoZero"/>
        <c:crossBetween val="midCat"/>
      </c:valAx>
    </c:plotArea>
    <c:plotVisOnly val="0"/>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15</xdr:row>
      <xdr:rowOff>66675</xdr:rowOff>
    </xdr:from>
    <xdr:to>
      <xdr:col>35</xdr:col>
      <xdr:colOff>152400</xdr:colOff>
      <xdr:row>51</xdr:row>
      <xdr:rowOff>193077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2867025"/>
          <a:ext cx="5648324" cy="6984402"/>
        </a:xfrm>
        <a:prstGeom prst="rect">
          <a:avLst/>
        </a:prstGeom>
      </xdr:spPr>
    </xdr:pic>
    <xdr:clientData/>
  </xdr:twoCellAnchor>
  <xdr:twoCellAnchor>
    <xdr:from>
      <xdr:col>20</xdr:col>
      <xdr:colOff>152402</xdr:colOff>
      <xdr:row>58</xdr:row>
      <xdr:rowOff>28575</xdr:rowOff>
    </xdr:from>
    <xdr:to>
      <xdr:col>31</xdr:col>
      <xdr:colOff>1</xdr:colOff>
      <xdr:row>64</xdr:row>
      <xdr:rowOff>190500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77</xdr:row>
      <xdr:rowOff>0</xdr:rowOff>
    </xdr:from>
    <xdr:to>
      <xdr:col>35</xdr:col>
      <xdr:colOff>133350</xdr:colOff>
      <xdr:row>102</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66675</xdr:colOff>
      <xdr:row>109</xdr:row>
      <xdr:rowOff>0</xdr:rowOff>
    </xdr:from>
    <xdr:to>
      <xdr:col>30</xdr:col>
      <xdr:colOff>133350</xdr:colOff>
      <xdr:row>116</xdr:row>
      <xdr:rowOff>190501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6</xdr:col>
          <xdr:colOff>142875</xdr:colOff>
          <xdr:row>67</xdr:row>
          <xdr:rowOff>180975</xdr:rowOff>
        </xdr:from>
        <xdr:to>
          <xdr:col>30</xdr:col>
          <xdr:colOff>47625</xdr:colOff>
          <xdr:row>72</xdr:row>
          <xdr:rowOff>9525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152402</xdr:colOff>
      <xdr:row>13</xdr:row>
      <xdr:rowOff>28575</xdr:rowOff>
    </xdr:from>
    <xdr:to>
      <xdr:col>31</xdr:col>
      <xdr:colOff>1</xdr:colOff>
      <xdr:row>21</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32</xdr:row>
      <xdr:rowOff>57150</xdr:rowOff>
    </xdr:from>
    <xdr:to>
      <xdr:col>35</xdr:col>
      <xdr:colOff>133350</xdr:colOff>
      <xdr:row>51</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58</xdr:row>
      <xdr:rowOff>38100</xdr:rowOff>
    </xdr:from>
    <xdr:to>
      <xdr:col>30</xdr:col>
      <xdr:colOff>133350</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6</xdr:col>
          <xdr:colOff>142875</xdr:colOff>
          <xdr:row>22</xdr:row>
          <xdr:rowOff>180975</xdr:rowOff>
        </xdr:from>
        <xdr:to>
          <xdr:col>30</xdr:col>
          <xdr:colOff>47625</xdr:colOff>
          <xdr:row>27</xdr:row>
          <xdr:rowOff>9525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ivilweb-spreadsheets.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5"/>
  <sheetViews>
    <sheetView workbookViewId="0">
      <selection activeCell="AL22" sqref="AL22"/>
    </sheetView>
  </sheetViews>
  <sheetFormatPr defaultRowHeight="15"/>
  <cols>
    <col min="1" max="1" width="1" style="214" customWidth="1"/>
    <col min="2" max="36" width="2.42578125" style="214" customWidth="1"/>
    <col min="37" max="92" width="9.140625" style="214"/>
    <col min="93" max="16384" width="9.140625" style="29"/>
  </cols>
  <sheetData>
    <row r="1" spans="1:69" s="29" customFormat="1" ht="17.25" thickBot="1">
      <c r="A1" s="1"/>
      <c r="B1" s="211" t="s">
        <v>139</v>
      </c>
      <c r="C1" s="212"/>
      <c r="D1" s="212"/>
      <c r="E1" s="212"/>
      <c r="F1" s="212"/>
      <c r="G1" s="211" t="s">
        <v>140</v>
      </c>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1" t="s">
        <v>141</v>
      </c>
      <c r="AG1" s="212"/>
      <c r="AH1" s="212"/>
      <c r="AI1" s="212"/>
      <c r="AJ1" s="212"/>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row>
    <row r="2" spans="1:69" s="29" customFormat="1">
      <c r="A2" s="1"/>
      <c r="B2" s="146" t="s">
        <v>3</v>
      </c>
      <c r="C2" s="215"/>
      <c r="D2" s="215"/>
      <c r="E2" s="215"/>
      <c r="F2" s="216"/>
      <c r="G2" s="155" t="s">
        <v>4</v>
      </c>
      <c r="H2" s="156"/>
      <c r="I2" s="156"/>
      <c r="J2" s="156"/>
      <c r="K2" s="156"/>
      <c r="L2" s="156"/>
      <c r="M2" s="157"/>
      <c r="N2" s="217"/>
      <c r="O2" s="217"/>
      <c r="P2" s="217"/>
      <c r="Q2" s="217"/>
      <c r="R2" s="217"/>
      <c r="S2" s="217"/>
      <c r="T2" s="217"/>
      <c r="U2" s="217"/>
      <c r="V2" s="217"/>
      <c r="W2" s="217"/>
      <c r="X2" s="217"/>
      <c r="Y2" s="217"/>
      <c r="Z2" s="217"/>
      <c r="AA2" s="217"/>
      <c r="AB2" s="217"/>
      <c r="AC2" s="217"/>
      <c r="AD2" s="217"/>
      <c r="AE2" s="218"/>
      <c r="AF2" s="160" t="s">
        <v>5</v>
      </c>
      <c r="AG2" s="156"/>
      <c r="AH2" s="156"/>
      <c r="AI2" s="156"/>
      <c r="AJ2" s="161"/>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row>
    <row r="3" spans="1:69" s="29" customFormat="1">
      <c r="A3" s="1"/>
      <c r="B3" s="219"/>
      <c r="C3" s="220"/>
      <c r="D3" s="220"/>
      <c r="E3" s="220"/>
      <c r="F3" s="221"/>
      <c r="G3" s="102" t="s">
        <v>6</v>
      </c>
      <c r="H3" s="97"/>
      <c r="I3" s="97"/>
      <c r="J3" s="97"/>
      <c r="K3" s="97"/>
      <c r="L3" s="222"/>
      <c r="M3" s="163" t="s">
        <v>142</v>
      </c>
      <c r="N3" s="97"/>
      <c r="O3" s="97"/>
      <c r="P3" s="97"/>
      <c r="Q3" s="97"/>
      <c r="R3" s="97"/>
      <c r="S3" s="97"/>
      <c r="T3" s="97"/>
      <c r="U3" s="97"/>
      <c r="V3" s="97"/>
      <c r="W3" s="97"/>
      <c r="X3" s="97"/>
      <c r="Y3" s="97"/>
      <c r="Z3" s="97"/>
      <c r="AA3" s="97"/>
      <c r="AB3" s="97"/>
      <c r="AC3" s="97"/>
      <c r="AD3" s="97"/>
      <c r="AE3" s="164"/>
      <c r="AF3" s="96"/>
      <c r="AG3" s="97"/>
      <c r="AH3" s="97"/>
      <c r="AI3" s="97"/>
      <c r="AJ3" s="98"/>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row>
    <row r="4" spans="1:69" s="29" customFormat="1">
      <c r="A4" s="1"/>
      <c r="B4" s="219"/>
      <c r="C4" s="220"/>
      <c r="D4" s="220"/>
      <c r="E4" s="220"/>
      <c r="F4" s="221"/>
      <c r="G4" s="99"/>
      <c r="H4" s="97"/>
      <c r="I4" s="97"/>
      <c r="J4" s="97"/>
      <c r="K4" s="97"/>
      <c r="L4" s="97"/>
      <c r="M4" s="97"/>
      <c r="N4" s="97"/>
      <c r="O4" s="97"/>
      <c r="P4" s="97"/>
      <c r="Q4" s="97"/>
      <c r="R4" s="97"/>
      <c r="S4" s="97"/>
      <c r="T4" s="97"/>
      <c r="U4" s="97"/>
      <c r="V4" s="97"/>
      <c r="W4" s="97"/>
      <c r="X4" s="97"/>
      <c r="Y4" s="97"/>
      <c r="Z4" s="97"/>
      <c r="AA4" s="97"/>
      <c r="AB4" s="97"/>
      <c r="AC4" s="97"/>
      <c r="AD4" s="97"/>
      <c r="AE4" s="164"/>
      <c r="AF4" s="102" t="s">
        <v>7</v>
      </c>
      <c r="AG4" s="103"/>
      <c r="AH4" s="103"/>
      <c r="AI4" s="103"/>
      <c r="AJ4" s="10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row>
    <row r="5" spans="1:69" s="29" customFormat="1" ht="15.75" thickBot="1">
      <c r="A5" s="1"/>
      <c r="B5" s="223"/>
      <c r="C5" s="224"/>
      <c r="D5" s="224"/>
      <c r="E5" s="224"/>
      <c r="F5" s="225"/>
      <c r="G5" s="105" t="s">
        <v>8</v>
      </c>
      <c r="H5" s="106"/>
      <c r="I5" s="106"/>
      <c r="J5" s="106"/>
      <c r="K5" s="106"/>
      <c r="L5" s="107"/>
      <c r="M5" s="108" t="s">
        <v>143</v>
      </c>
      <c r="N5" s="114"/>
      <c r="O5" s="114"/>
      <c r="P5" s="114"/>
      <c r="Q5" s="114"/>
      <c r="R5" s="114"/>
      <c r="S5" s="226"/>
      <c r="T5" s="111" t="s">
        <v>9</v>
      </c>
      <c r="U5" s="105"/>
      <c r="V5" s="105"/>
      <c r="W5" s="105"/>
      <c r="X5" s="105"/>
      <c r="Y5" s="112"/>
      <c r="Z5" s="113"/>
      <c r="AA5" s="114"/>
      <c r="AB5" s="114"/>
      <c r="AC5" s="114"/>
      <c r="AD5" s="114"/>
      <c r="AE5" s="115"/>
      <c r="AF5" s="116"/>
      <c r="AG5" s="114"/>
      <c r="AH5" s="114"/>
      <c r="AI5" s="114"/>
      <c r="AJ5" s="117"/>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row>
    <row r="6" spans="1:69" s="29" customFormat="1">
      <c r="A6" s="1"/>
      <c r="B6" s="2"/>
      <c r="C6" s="3"/>
      <c r="D6" s="3"/>
      <c r="E6" s="3"/>
      <c r="F6" s="4"/>
      <c r="G6" s="5"/>
      <c r="H6" s="24"/>
      <c r="I6" s="24"/>
      <c r="J6" s="24"/>
      <c r="K6" s="24"/>
      <c r="L6" s="24"/>
      <c r="M6" s="24"/>
      <c r="N6" s="24"/>
      <c r="O6" s="24"/>
      <c r="P6" s="24"/>
      <c r="Q6" s="24"/>
      <c r="R6" s="24"/>
      <c r="S6" s="24"/>
      <c r="T6" s="24"/>
      <c r="U6" s="24"/>
      <c r="V6" s="24"/>
      <c r="W6" s="24"/>
      <c r="X6" s="3"/>
      <c r="Y6" s="3"/>
      <c r="Z6" s="3"/>
      <c r="AA6" s="3"/>
      <c r="AB6" s="3"/>
      <c r="AC6" s="3"/>
      <c r="AD6" s="3"/>
      <c r="AE6" s="6"/>
      <c r="AF6" s="7"/>
      <c r="AG6" s="3"/>
      <c r="AH6" s="3"/>
      <c r="AI6" s="3"/>
      <c r="AJ6" s="8"/>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row>
    <row r="7" spans="1:69" s="29" customFormat="1" ht="15" customHeight="1">
      <c r="A7" s="1"/>
      <c r="B7" s="9"/>
      <c r="C7" s="10"/>
      <c r="D7" s="10"/>
      <c r="E7" s="10"/>
      <c r="F7" s="11"/>
      <c r="G7" s="23"/>
      <c r="H7" s="227" t="s">
        <v>144</v>
      </c>
      <c r="I7" s="228"/>
      <c r="J7" s="228"/>
      <c r="K7" s="228"/>
      <c r="L7" s="228"/>
      <c r="M7" s="228"/>
      <c r="N7" s="228"/>
      <c r="O7" s="228"/>
      <c r="P7" s="228"/>
      <c r="Q7" s="228"/>
      <c r="R7" s="228"/>
      <c r="S7" s="228"/>
      <c r="T7" s="228"/>
      <c r="U7" s="228"/>
      <c r="V7" s="228"/>
      <c r="W7" s="228"/>
      <c r="X7" s="228"/>
      <c r="Y7" s="228"/>
      <c r="Z7" s="228"/>
      <c r="AA7" s="228"/>
      <c r="AB7" s="228"/>
      <c r="AC7" s="228"/>
      <c r="AD7" s="229"/>
      <c r="AE7" s="13"/>
      <c r="AF7" s="14"/>
      <c r="AG7" s="10"/>
      <c r="AH7" s="10"/>
      <c r="AI7" s="10"/>
      <c r="AJ7" s="15"/>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row>
    <row r="8" spans="1:69" s="29" customFormat="1">
      <c r="A8" s="1"/>
      <c r="B8" s="9"/>
      <c r="C8" s="10"/>
      <c r="D8" s="10"/>
      <c r="E8" s="10"/>
      <c r="F8" s="11"/>
      <c r="G8" s="23"/>
      <c r="H8" s="230"/>
      <c r="I8" s="231"/>
      <c r="J8" s="231"/>
      <c r="K8" s="231"/>
      <c r="L8" s="231"/>
      <c r="M8" s="231"/>
      <c r="N8" s="231"/>
      <c r="O8" s="231"/>
      <c r="P8" s="231"/>
      <c r="Q8" s="231"/>
      <c r="R8" s="231"/>
      <c r="S8" s="231"/>
      <c r="T8" s="231"/>
      <c r="U8" s="231"/>
      <c r="V8" s="231"/>
      <c r="W8" s="231"/>
      <c r="X8" s="231"/>
      <c r="Y8" s="231"/>
      <c r="Z8" s="231"/>
      <c r="AA8" s="231"/>
      <c r="AB8" s="231"/>
      <c r="AC8" s="231"/>
      <c r="AD8" s="232"/>
      <c r="AE8" s="13"/>
      <c r="AF8" s="14"/>
      <c r="AG8" s="10"/>
      <c r="AH8" s="10"/>
      <c r="AI8" s="10"/>
      <c r="AJ8" s="15"/>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row>
    <row r="9" spans="1:69" s="29" customFormat="1">
      <c r="A9" s="1"/>
      <c r="B9" s="9"/>
      <c r="C9" s="10"/>
      <c r="D9" s="10"/>
      <c r="E9" s="10"/>
      <c r="F9" s="11"/>
      <c r="G9" s="23"/>
      <c r="H9" s="233"/>
      <c r="I9" s="234"/>
      <c r="J9" s="234"/>
      <c r="K9" s="234"/>
      <c r="L9" s="234"/>
      <c r="M9" s="234"/>
      <c r="N9" s="234"/>
      <c r="O9" s="234"/>
      <c r="P9" s="234"/>
      <c r="Q9" s="234"/>
      <c r="R9" s="234"/>
      <c r="S9" s="234"/>
      <c r="T9" s="234"/>
      <c r="U9" s="234"/>
      <c r="V9" s="234"/>
      <c r="W9" s="234"/>
      <c r="X9" s="234"/>
      <c r="Y9" s="234"/>
      <c r="Z9" s="234"/>
      <c r="AA9" s="234"/>
      <c r="AB9" s="234"/>
      <c r="AC9" s="234"/>
      <c r="AD9" s="235"/>
      <c r="AE9" s="13"/>
      <c r="AF9" s="14"/>
      <c r="AG9" s="10"/>
      <c r="AH9" s="10"/>
      <c r="AI9" s="10"/>
      <c r="AJ9" s="15"/>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row>
    <row r="10" spans="1:69" s="29" customFormat="1">
      <c r="A10" s="1"/>
      <c r="B10" s="9"/>
      <c r="C10" s="10"/>
      <c r="D10" s="10"/>
      <c r="E10" s="10"/>
      <c r="F10" s="11"/>
      <c r="G10" s="12"/>
      <c r="H10" s="233"/>
      <c r="I10" s="234"/>
      <c r="J10" s="234"/>
      <c r="K10" s="234"/>
      <c r="L10" s="234"/>
      <c r="M10" s="234"/>
      <c r="N10" s="234"/>
      <c r="O10" s="234"/>
      <c r="P10" s="234"/>
      <c r="Q10" s="234"/>
      <c r="R10" s="234"/>
      <c r="S10" s="234"/>
      <c r="T10" s="234"/>
      <c r="U10" s="234"/>
      <c r="V10" s="234"/>
      <c r="W10" s="234"/>
      <c r="X10" s="234"/>
      <c r="Y10" s="234"/>
      <c r="Z10" s="234"/>
      <c r="AA10" s="234"/>
      <c r="AB10" s="234"/>
      <c r="AC10" s="234"/>
      <c r="AD10" s="235"/>
      <c r="AE10" s="13"/>
      <c r="AF10" s="14"/>
      <c r="AG10" s="10"/>
      <c r="AH10" s="10"/>
      <c r="AI10" s="10"/>
      <c r="AJ10" s="15"/>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row>
    <row r="11" spans="1:69" s="29" customFormat="1">
      <c r="A11" s="1"/>
      <c r="B11" s="9"/>
      <c r="C11" s="10"/>
      <c r="D11" s="10"/>
      <c r="E11" s="10"/>
      <c r="F11" s="11"/>
      <c r="G11" s="23"/>
      <c r="H11" s="233"/>
      <c r="I11" s="234"/>
      <c r="J11" s="234"/>
      <c r="K11" s="234"/>
      <c r="L11" s="234"/>
      <c r="M11" s="234"/>
      <c r="N11" s="234"/>
      <c r="O11" s="234"/>
      <c r="P11" s="234"/>
      <c r="Q11" s="234"/>
      <c r="R11" s="234"/>
      <c r="S11" s="234"/>
      <c r="T11" s="234"/>
      <c r="U11" s="234"/>
      <c r="V11" s="234"/>
      <c r="W11" s="234"/>
      <c r="X11" s="234"/>
      <c r="Y11" s="234"/>
      <c r="Z11" s="234"/>
      <c r="AA11" s="234"/>
      <c r="AB11" s="234"/>
      <c r="AC11" s="234"/>
      <c r="AD11" s="235"/>
      <c r="AE11" s="13"/>
      <c r="AF11" s="14"/>
      <c r="AG11" s="10"/>
      <c r="AH11" s="10"/>
      <c r="AI11" s="10"/>
      <c r="AJ11" s="15"/>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row>
    <row r="12" spans="1:69" s="29" customFormat="1">
      <c r="A12" s="1"/>
      <c r="B12" s="9"/>
      <c r="C12" s="10"/>
      <c r="D12" s="10"/>
      <c r="E12" s="10"/>
      <c r="F12" s="11"/>
      <c r="G12" s="23"/>
      <c r="H12" s="236"/>
      <c r="I12" s="237"/>
      <c r="J12" s="237"/>
      <c r="K12" s="237"/>
      <c r="L12" s="237"/>
      <c r="M12" s="237"/>
      <c r="N12" s="237"/>
      <c r="O12" s="237"/>
      <c r="P12" s="237"/>
      <c r="Q12" s="237"/>
      <c r="R12" s="237"/>
      <c r="S12" s="237"/>
      <c r="T12" s="237"/>
      <c r="U12" s="237"/>
      <c r="V12" s="237"/>
      <c r="W12" s="237"/>
      <c r="X12" s="237"/>
      <c r="Y12" s="237"/>
      <c r="Z12" s="237"/>
      <c r="AA12" s="237"/>
      <c r="AB12" s="237"/>
      <c r="AC12" s="237"/>
      <c r="AD12" s="238"/>
      <c r="AE12" s="13"/>
      <c r="AF12" s="14"/>
      <c r="AG12" s="10"/>
      <c r="AH12" s="10"/>
      <c r="AI12" s="10"/>
      <c r="AJ12" s="15"/>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row>
    <row r="13" spans="1:69" s="29" customFormat="1">
      <c r="A13" s="1"/>
      <c r="B13" s="9"/>
      <c r="C13" s="10"/>
      <c r="D13" s="10"/>
      <c r="E13" s="10"/>
      <c r="F13" s="11"/>
      <c r="G13" s="23"/>
      <c r="H13" s="10"/>
      <c r="I13" s="12"/>
      <c r="J13" s="12"/>
      <c r="K13" s="12"/>
      <c r="L13" s="12"/>
      <c r="M13" s="12"/>
      <c r="N13" s="12"/>
      <c r="O13" s="12"/>
      <c r="P13" s="12"/>
      <c r="Q13" s="12"/>
      <c r="R13" s="12"/>
      <c r="S13" s="12"/>
      <c r="T13" s="12"/>
      <c r="U13" s="12"/>
      <c r="V13" s="12"/>
      <c r="W13" s="12"/>
      <c r="X13" s="12"/>
      <c r="Y13" s="10"/>
      <c r="Z13" s="10"/>
      <c r="AA13" s="10"/>
      <c r="AB13" s="10"/>
      <c r="AC13" s="10"/>
      <c r="AD13" s="10"/>
      <c r="AE13" s="13"/>
      <c r="AF13" s="14"/>
      <c r="AG13" s="10"/>
      <c r="AH13" s="10"/>
      <c r="AI13" s="10"/>
      <c r="AJ13" s="15"/>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row>
    <row r="14" spans="1:69" s="29" customFormat="1">
      <c r="A14" s="1"/>
      <c r="B14" s="9"/>
      <c r="C14" s="10"/>
      <c r="D14" s="10"/>
      <c r="E14" s="10"/>
      <c r="F14" s="11"/>
      <c r="G14" s="23"/>
      <c r="H14" s="227" t="s">
        <v>145</v>
      </c>
      <c r="I14" s="228"/>
      <c r="J14" s="228"/>
      <c r="K14" s="228"/>
      <c r="L14" s="228"/>
      <c r="M14" s="228"/>
      <c r="N14" s="228"/>
      <c r="O14" s="228"/>
      <c r="P14" s="228"/>
      <c r="Q14" s="228"/>
      <c r="R14" s="228"/>
      <c r="S14" s="228"/>
      <c r="T14" s="228"/>
      <c r="U14" s="228"/>
      <c r="V14" s="228"/>
      <c r="W14" s="228"/>
      <c r="X14" s="228"/>
      <c r="Y14" s="228"/>
      <c r="Z14" s="228"/>
      <c r="AA14" s="228"/>
      <c r="AB14" s="228"/>
      <c r="AC14" s="228"/>
      <c r="AD14" s="229"/>
      <c r="AE14" s="13"/>
      <c r="AF14" s="14"/>
      <c r="AG14" s="10"/>
      <c r="AH14" s="10"/>
      <c r="AI14" s="10"/>
      <c r="AJ14" s="15"/>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row>
    <row r="15" spans="1:69" s="29" customFormat="1">
      <c r="A15" s="1"/>
      <c r="B15" s="9"/>
      <c r="C15" s="10"/>
      <c r="D15" s="10"/>
      <c r="E15" s="10"/>
      <c r="F15" s="11"/>
      <c r="G15" s="12"/>
      <c r="H15" s="230"/>
      <c r="I15" s="231"/>
      <c r="J15" s="231"/>
      <c r="K15" s="231"/>
      <c r="L15" s="231"/>
      <c r="M15" s="231"/>
      <c r="N15" s="231"/>
      <c r="O15" s="231"/>
      <c r="P15" s="231"/>
      <c r="Q15" s="231"/>
      <c r="R15" s="231"/>
      <c r="S15" s="231"/>
      <c r="T15" s="231"/>
      <c r="U15" s="231"/>
      <c r="V15" s="231"/>
      <c r="W15" s="231"/>
      <c r="X15" s="231"/>
      <c r="Y15" s="231"/>
      <c r="Z15" s="231"/>
      <c r="AA15" s="231"/>
      <c r="AB15" s="231"/>
      <c r="AC15" s="231"/>
      <c r="AD15" s="232"/>
      <c r="AE15" s="13"/>
      <c r="AF15" s="14"/>
      <c r="AG15" s="10"/>
      <c r="AH15" s="10"/>
      <c r="AI15" s="10"/>
      <c r="AJ15" s="15"/>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row>
    <row r="16" spans="1:69" s="29" customFormat="1">
      <c r="A16" s="1"/>
      <c r="B16" s="9"/>
      <c r="C16" s="10"/>
      <c r="D16" s="10"/>
      <c r="E16" s="10"/>
      <c r="F16" s="11"/>
      <c r="G16" s="12"/>
      <c r="H16" s="236"/>
      <c r="I16" s="237"/>
      <c r="J16" s="237"/>
      <c r="K16" s="237"/>
      <c r="L16" s="237"/>
      <c r="M16" s="237"/>
      <c r="N16" s="237"/>
      <c r="O16" s="237"/>
      <c r="P16" s="237"/>
      <c r="Q16" s="237"/>
      <c r="R16" s="237"/>
      <c r="S16" s="237"/>
      <c r="T16" s="237"/>
      <c r="U16" s="237"/>
      <c r="V16" s="237"/>
      <c r="W16" s="237"/>
      <c r="X16" s="237"/>
      <c r="Y16" s="237"/>
      <c r="Z16" s="237"/>
      <c r="AA16" s="237"/>
      <c r="AB16" s="237"/>
      <c r="AC16" s="237"/>
      <c r="AD16" s="238"/>
      <c r="AE16" s="13"/>
      <c r="AF16" s="14"/>
      <c r="AG16" s="10"/>
      <c r="AH16" s="10"/>
      <c r="AI16" s="10"/>
      <c r="AJ16" s="15"/>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row>
    <row r="17" spans="1:69" s="29" customFormat="1">
      <c r="A17" s="1"/>
      <c r="B17" s="9"/>
      <c r="C17" s="10"/>
      <c r="D17" s="10"/>
      <c r="E17" s="10"/>
      <c r="F17" s="11"/>
      <c r="G17" s="12"/>
      <c r="H17" s="10"/>
      <c r="I17" s="10"/>
      <c r="J17" s="10"/>
      <c r="K17" s="10"/>
      <c r="L17" s="10"/>
      <c r="M17" s="10"/>
      <c r="N17" s="10"/>
      <c r="O17" s="10"/>
      <c r="P17" s="10"/>
      <c r="Q17" s="10"/>
      <c r="R17" s="10"/>
      <c r="S17" s="10"/>
      <c r="T17" s="10"/>
      <c r="U17" s="10"/>
      <c r="V17" s="10"/>
      <c r="W17" s="10"/>
      <c r="X17" s="10"/>
      <c r="Y17" s="10"/>
      <c r="Z17" s="10"/>
      <c r="AA17" s="10"/>
      <c r="AB17" s="10"/>
      <c r="AC17" s="10"/>
      <c r="AD17" s="10"/>
      <c r="AE17" s="13"/>
      <c r="AF17" s="14"/>
      <c r="AG17" s="10"/>
      <c r="AH17" s="10"/>
      <c r="AI17" s="10"/>
      <c r="AJ17" s="15"/>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row>
    <row r="18" spans="1:69" s="29" customFormat="1">
      <c r="A18" s="1"/>
      <c r="B18" s="9"/>
      <c r="C18" s="10"/>
      <c r="D18" s="10"/>
      <c r="E18" s="10"/>
      <c r="F18" s="11"/>
      <c r="G18" s="12"/>
      <c r="H18" s="125" t="s">
        <v>146</v>
      </c>
      <c r="I18" s="239"/>
      <c r="J18" s="239"/>
      <c r="K18" s="239"/>
      <c r="L18" s="239"/>
      <c r="M18" s="239"/>
      <c r="N18" s="239"/>
      <c r="O18" s="239"/>
      <c r="P18" s="239"/>
      <c r="Q18" s="239"/>
      <c r="R18" s="239"/>
      <c r="S18" s="239"/>
      <c r="T18" s="239"/>
      <c r="U18" s="239"/>
      <c r="V18" s="239"/>
      <c r="W18" s="239"/>
      <c r="X18" s="239"/>
      <c r="Y18" s="239"/>
      <c r="Z18" s="239"/>
      <c r="AA18" s="239"/>
      <c r="AB18" s="239"/>
      <c r="AC18" s="239"/>
      <c r="AD18" s="240"/>
      <c r="AE18" s="13"/>
      <c r="AF18" s="14"/>
      <c r="AG18" s="10"/>
      <c r="AH18" s="10"/>
      <c r="AI18" s="10"/>
      <c r="AJ18" s="15"/>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row>
    <row r="19" spans="1:69" s="29" customFormat="1">
      <c r="A19" s="1"/>
      <c r="B19" s="9"/>
      <c r="C19" s="10"/>
      <c r="D19" s="10"/>
      <c r="E19" s="10"/>
      <c r="F19" s="11"/>
      <c r="G19" s="12"/>
      <c r="H19" s="10"/>
      <c r="I19" s="10"/>
      <c r="J19" s="10"/>
      <c r="K19" s="10"/>
      <c r="L19" s="10"/>
      <c r="M19" s="10"/>
      <c r="N19" s="10"/>
      <c r="O19" s="10"/>
      <c r="P19" s="10"/>
      <c r="Q19" s="10"/>
      <c r="R19" s="10"/>
      <c r="S19" s="10"/>
      <c r="T19" s="10"/>
      <c r="U19" s="10"/>
      <c r="V19" s="10"/>
      <c r="W19" s="10"/>
      <c r="X19" s="10"/>
      <c r="Y19" s="10"/>
      <c r="Z19" s="10"/>
      <c r="AA19" s="10"/>
      <c r="AB19" s="10"/>
      <c r="AC19" s="10"/>
      <c r="AD19" s="10"/>
      <c r="AE19" s="13"/>
      <c r="AF19" s="14"/>
      <c r="AG19" s="10"/>
      <c r="AH19" s="10"/>
      <c r="AI19" s="10"/>
      <c r="AJ19" s="15"/>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row>
    <row r="20" spans="1:69" s="29" customFormat="1">
      <c r="A20" s="1"/>
      <c r="B20" s="9"/>
      <c r="C20" s="10"/>
      <c r="D20" s="10"/>
      <c r="E20" s="10"/>
      <c r="F20" s="11"/>
      <c r="G20" s="12"/>
      <c r="H20" s="227" t="s">
        <v>147</v>
      </c>
      <c r="I20" s="228"/>
      <c r="J20" s="228"/>
      <c r="K20" s="228"/>
      <c r="L20" s="228"/>
      <c r="M20" s="228"/>
      <c r="N20" s="228"/>
      <c r="O20" s="228"/>
      <c r="P20" s="228"/>
      <c r="Q20" s="228"/>
      <c r="R20" s="228"/>
      <c r="S20" s="228"/>
      <c r="T20" s="228"/>
      <c r="U20" s="228"/>
      <c r="V20" s="228"/>
      <c r="W20" s="228"/>
      <c r="X20" s="228"/>
      <c r="Y20" s="228"/>
      <c r="Z20" s="228"/>
      <c r="AA20" s="228"/>
      <c r="AB20" s="228"/>
      <c r="AC20" s="228"/>
      <c r="AD20" s="229"/>
      <c r="AE20" s="13"/>
      <c r="AF20" s="14"/>
      <c r="AG20" s="10"/>
      <c r="AH20" s="10"/>
      <c r="AI20" s="10"/>
      <c r="AJ20" s="15"/>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row>
    <row r="21" spans="1:69" s="29" customFormat="1">
      <c r="A21" s="1"/>
      <c r="B21" s="9"/>
      <c r="C21" s="10"/>
      <c r="D21" s="10"/>
      <c r="E21" s="10"/>
      <c r="F21" s="11"/>
      <c r="G21" s="12"/>
      <c r="H21" s="241"/>
      <c r="I21" s="242"/>
      <c r="J21" s="242"/>
      <c r="K21" s="242"/>
      <c r="L21" s="242"/>
      <c r="M21" s="242"/>
      <c r="N21" s="242"/>
      <c r="O21" s="242"/>
      <c r="P21" s="242"/>
      <c r="Q21" s="242"/>
      <c r="R21" s="242"/>
      <c r="S21" s="242"/>
      <c r="T21" s="242"/>
      <c r="U21" s="242"/>
      <c r="V21" s="242"/>
      <c r="W21" s="242"/>
      <c r="X21" s="242"/>
      <c r="Y21" s="242"/>
      <c r="Z21" s="242"/>
      <c r="AA21" s="242"/>
      <c r="AB21" s="242"/>
      <c r="AC21" s="242"/>
      <c r="AD21" s="243"/>
      <c r="AE21" s="13"/>
      <c r="AF21" s="14"/>
      <c r="AG21" s="10"/>
      <c r="AH21" s="10"/>
      <c r="AI21" s="10"/>
      <c r="AJ21" s="15"/>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row>
    <row r="22" spans="1:69" s="29" customFormat="1">
      <c r="A22" s="1"/>
      <c r="B22" s="9"/>
      <c r="C22" s="10"/>
      <c r="D22" s="10"/>
      <c r="E22" s="10"/>
      <c r="F22" s="11"/>
      <c r="G22" s="12"/>
      <c r="H22" s="10"/>
      <c r="I22" s="10"/>
      <c r="J22" s="10"/>
      <c r="K22" s="10"/>
      <c r="L22" s="10"/>
      <c r="M22" s="10"/>
      <c r="N22" s="10"/>
      <c r="O22" s="10"/>
      <c r="P22" s="10"/>
      <c r="Q22" s="10"/>
      <c r="R22" s="10"/>
      <c r="S22" s="10"/>
      <c r="T22" s="10"/>
      <c r="U22" s="10"/>
      <c r="V22" s="10"/>
      <c r="W22" s="10"/>
      <c r="X22" s="10"/>
      <c r="Y22" s="10"/>
      <c r="Z22" s="10"/>
      <c r="AA22" s="10"/>
      <c r="AB22" s="10"/>
      <c r="AC22" s="10"/>
      <c r="AD22" s="10"/>
      <c r="AE22" s="13"/>
      <c r="AF22" s="14"/>
      <c r="AG22" s="10"/>
      <c r="AH22" s="10"/>
      <c r="AI22" s="10"/>
      <c r="AJ22" s="15"/>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row>
    <row r="23" spans="1:69" s="29" customFormat="1">
      <c r="A23" s="1"/>
      <c r="B23" s="9"/>
      <c r="C23" s="10"/>
      <c r="D23" s="10"/>
      <c r="E23" s="10"/>
      <c r="F23" s="11"/>
      <c r="G23" s="12"/>
      <c r="H23" s="125" t="s">
        <v>148</v>
      </c>
      <c r="I23" s="239"/>
      <c r="J23" s="239"/>
      <c r="K23" s="239"/>
      <c r="L23" s="239"/>
      <c r="M23" s="240"/>
      <c r="N23" s="10"/>
      <c r="O23" s="10"/>
      <c r="P23" s="10"/>
      <c r="Q23" s="10"/>
      <c r="R23" s="10"/>
      <c r="S23" s="10"/>
      <c r="T23" s="10"/>
      <c r="U23" s="10"/>
      <c r="V23" s="10"/>
      <c r="W23" s="10"/>
      <c r="X23" s="10"/>
      <c r="Y23" s="10"/>
      <c r="Z23" s="10"/>
      <c r="AA23" s="10"/>
      <c r="AB23" s="10"/>
      <c r="AC23" s="10"/>
      <c r="AD23" s="10"/>
      <c r="AE23" s="13"/>
      <c r="AF23" s="14"/>
      <c r="AG23" s="10"/>
      <c r="AH23" s="10"/>
      <c r="AI23" s="10"/>
      <c r="AJ23" s="15"/>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row>
    <row r="24" spans="1:69" s="29" customFormat="1">
      <c r="A24" s="1"/>
      <c r="B24" s="9"/>
      <c r="C24" s="10"/>
      <c r="D24" s="10"/>
      <c r="E24" s="10"/>
      <c r="F24" s="11"/>
      <c r="G24" s="12"/>
      <c r="H24" s="125"/>
      <c r="I24" s="239"/>
      <c r="J24" s="239"/>
      <c r="K24" s="239"/>
      <c r="L24" s="239"/>
      <c r="M24" s="239"/>
      <c r="N24" s="239"/>
      <c r="O24" s="239"/>
      <c r="P24" s="239"/>
      <c r="Q24" s="239"/>
      <c r="R24" s="239"/>
      <c r="S24" s="239"/>
      <c r="T24" s="239"/>
      <c r="U24" s="239"/>
      <c r="V24" s="239"/>
      <c r="W24" s="239"/>
      <c r="X24" s="239"/>
      <c r="Y24" s="239"/>
      <c r="Z24" s="239"/>
      <c r="AA24" s="239"/>
      <c r="AB24" s="239"/>
      <c r="AC24" s="239"/>
      <c r="AD24" s="240"/>
      <c r="AE24" s="13"/>
      <c r="AF24" s="14"/>
      <c r="AG24" s="10"/>
      <c r="AH24" s="10"/>
      <c r="AI24" s="10"/>
      <c r="AJ24" s="15"/>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row>
    <row r="25" spans="1:69" s="29" customFormat="1">
      <c r="A25" s="1"/>
      <c r="B25" s="9"/>
      <c r="C25" s="10"/>
      <c r="D25" s="10"/>
      <c r="E25" s="10"/>
      <c r="F25" s="11"/>
      <c r="G25" s="12"/>
      <c r="H25" s="10"/>
      <c r="I25" s="10"/>
      <c r="J25" s="10"/>
      <c r="K25" s="10"/>
      <c r="L25" s="10"/>
      <c r="M25" s="10"/>
      <c r="N25" s="10"/>
      <c r="O25" s="10"/>
      <c r="P25" s="10"/>
      <c r="Q25" s="10"/>
      <c r="R25" s="10"/>
      <c r="S25" s="10"/>
      <c r="T25" s="10"/>
      <c r="U25" s="10"/>
      <c r="V25" s="10"/>
      <c r="W25" s="10"/>
      <c r="X25" s="10"/>
      <c r="Y25" s="10"/>
      <c r="Z25" s="10"/>
      <c r="AA25" s="10"/>
      <c r="AB25" s="10"/>
      <c r="AC25" s="10"/>
      <c r="AD25" s="10"/>
      <c r="AE25" s="13"/>
      <c r="AF25" s="14"/>
      <c r="AG25" s="10"/>
      <c r="AH25" s="10"/>
      <c r="AI25" s="10"/>
      <c r="AJ25" s="15"/>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row>
    <row r="26" spans="1:69" s="29" customFormat="1">
      <c r="A26" s="1"/>
      <c r="B26" s="9"/>
      <c r="C26" s="10"/>
      <c r="D26" s="10"/>
      <c r="E26" s="10"/>
      <c r="F26" s="11"/>
      <c r="G26" s="12"/>
      <c r="H26" s="227" t="s">
        <v>149</v>
      </c>
      <c r="I26" s="228"/>
      <c r="J26" s="228"/>
      <c r="K26" s="228"/>
      <c r="L26" s="228"/>
      <c r="M26" s="228"/>
      <c r="N26" s="228"/>
      <c r="O26" s="228"/>
      <c r="P26" s="228"/>
      <c r="Q26" s="228"/>
      <c r="R26" s="228"/>
      <c r="S26" s="228"/>
      <c r="T26" s="228"/>
      <c r="U26" s="228"/>
      <c r="V26" s="228"/>
      <c r="W26" s="228"/>
      <c r="X26" s="228"/>
      <c r="Y26" s="228"/>
      <c r="Z26" s="228"/>
      <c r="AA26" s="228"/>
      <c r="AB26" s="228"/>
      <c r="AC26" s="228"/>
      <c r="AD26" s="229"/>
      <c r="AE26" s="13"/>
      <c r="AF26" s="14"/>
      <c r="AG26" s="10"/>
      <c r="AH26" s="10"/>
      <c r="AI26" s="10"/>
      <c r="AJ26" s="15"/>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row>
    <row r="27" spans="1:69" s="29" customFormat="1">
      <c r="A27" s="1"/>
      <c r="B27" s="9"/>
      <c r="C27" s="10"/>
      <c r="D27" s="10"/>
      <c r="E27" s="10"/>
      <c r="F27" s="11"/>
      <c r="G27" s="12"/>
      <c r="H27" s="236"/>
      <c r="I27" s="237"/>
      <c r="J27" s="237"/>
      <c r="K27" s="237"/>
      <c r="L27" s="237"/>
      <c r="M27" s="237"/>
      <c r="N27" s="237"/>
      <c r="O27" s="237"/>
      <c r="P27" s="237"/>
      <c r="Q27" s="237"/>
      <c r="R27" s="237"/>
      <c r="S27" s="237"/>
      <c r="T27" s="237"/>
      <c r="U27" s="237"/>
      <c r="V27" s="237"/>
      <c r="W27" s="237"/>
      <c r="X27" s="237"/>
      <c r="Y27" s="237"/>
      <c r="Z27" s="237"/>
      <c r="AA27" s="237"/>
      <c r="AB27" s="237"/>
      <c r="AC27" s="237"/>
      <c r="AD27" s="238"/>
      <c r="AE27" s="13"/>
      <c r="AF27" s="14"/>
      <c r="AG27" s="10"/>
      <c r="AH27" s="10"/>
      <c r="AI27" s="10"/>
      <c r="AJ27" s="15"/>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row>
    <row r="28" spans="1:69" s="29" customFormat="1">
      <c r="A28" s="1"/>
      <c r="B28" s="9"/>
      <c r="C28" s="10"/>
      <c r="D28" s="10"/>
      <c r="E28" s="10"/>
      <c r="F28" s="11"/>
      <c r="G28" s="12"/>
      <c r="H28" s="10"/>
      <c r="I28" s="10"/>
      <c r="J28" s="10"/>
      <c r="K28" s="10"/>
      <c r="L28" s="10"/>
      <c r="M28" s="10"/>
      <c r="N28" s="10"/>
      <c r="O28" s="10"/>
      <c r="P28" s="10"/>
      <c r="Q28" s="10"/>
      <c r="R28" s="10"/>
      <c r="S28" s="10"/>
      <c r="T28" s="10"/>
      <c r="U28" s="10"/>
      <c r="V28" s="10"/>
      <c r="W28" s="10"/>
      <c r="X28" s="10"/>
      <c r="Y28" s="10"/>
      <c r="Z28" s="10"/>
      <c r="AA28" s="10"/>
      <c r="AB28" s="10"/>
      <c r="AC28" s="10"/>
      <c r="AD28" s="10"/>
      <c r="AE28" s="13"/>
      <c r="AF28" s="14"/>
      <c r="AG28" s="10"/>
      <c r="AH28" s="10"/>
      <c r="AI28" s="10"/>
      <c r="AJ28" s="15"/>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row>
    <row r="29" spans="1:69" s="29" customFormat="1">
      <c r="A29" s="1"/>
      <c r="B29" s="9"/>
      <c r="C29" s="10"/>
      <c r="D29" s="10"/>
      <c r="E29" s="10"/>
      <c r="F29" s="11"/>
      <c r="G29" s="12"/>
      <c r="H29" s="125" t="s">
        <v>150</v>
      </c>
      <c r="I29" s="239"/>
      <c r="J29" s="239"/>
      <c r="K29" s="239"/>
      <c r="L29" s="239"/>
      <c r="M29" s="239"/>
      <c r="N29" s="239"/>
      <c r="O29" s="239"/>
      <c r="P29" s="239"/>
      <c r="Q29" s="239"/>
      <c r="R29" s="239"/>
      <c r="S29" s="239"/>
      <c r="T29" s="239"/>
      <c r="U29" s="239"/>
      <c r="V29" s="239"/>
      <c r="W29" s="239"/>
      <c r="X29" s="240"/>
      <c r="Y29" s="10"/>
      <c r="Z29" s="10"/>
      <c r="AA29" s="10"/>
      <c r="AB29" s="10"/>
      <c r="AC29" s="10"/>
      <c r="AD29" s="10"/>
      <c r="AE29" s="13"/>
      <c r="AF29" s="14"/>
      <c r="AG29" s="10"/>
      <c r="AH29" s="10"/>
      <c r="AI29" s="10"/>
      <c r="AJ29" s="15"/>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row>
    <row r="30" spans="1:69" s="29" customFormat="1">
      <c r="A30" s="1"/>
      <c r="B30" s="9"/>
      <c r="C30" s="10"/>
      <c r="D30" s="10"/>
      <c r="E30" s="10"/>
      <c r="F30" s="11"/>
      <c r="G30" s="12"/>
      <c r="H30" s="244" t="s">
        <v>151</v>
      </c>
      <c r="I30" s="10"/>
      <c r="J30" s="10"/>
      <c r="K30" s="10"/>
      <c r="L30" s="10"/>
      <c r="M30" s="10"/>
      <c r="N30" s="10"/>
      <c r="O30" s="10"/>
      <c r="P30" s="10"/>
      <c r="Q30" s="10"/>
      <c r="R30" s="10"/>
      <c r="S30" s="10"/>
      <c r="T30" s="10"/>
      <c r="U30" s="10"/>
      <c r="V30" s="10"/>
      <c r="W30" s="10"/>
      <c r="X30" s="10"/>
      <c r="Y30" s="10"/>
      <c r="Z30" s="10"/>
      <c r="AA30" s="10"/>
      <c r="AB30" s="10"/>
      <c r="AC30" s="10"/>
      <c r="AD30" s="10"/>
      <c r="AE30" s="13"/>
      <c r="AF30" s="14"/>
      <c r="AG30" s="10"/>
      <c r="AH30" s="10"/>
      <c r="AI30" s="10"/>
      <c r="AJ30" s="15"/>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row>
    <row r="31" spans="1:69" s="29" customFormat="1">
      <c r="A31" s="1"/>
      <c r="B31" s="9"/>
      <c r="C31" s="10"/>
      <c r="D31" s="10"/>
      <c r="E31" s="10"/>
      <c r="F31" s="11"/>
      <c r="G31" s="12"/>
      <c r="H31" s="10"/>
      <c r="I31" s="10"/>
      <c r="J31" s="10"/>
      <c r="K31" s="10"/>
      <c r="L31" s="10"/>
      <c r="M31" s="10"/>
      <c r="N31" s="10"/>
      <c r="O31" s="10"/>
      <c r="P31" s="10"/>
      <c r="Q31" s="10"/>
      <c r="R31" s="10"/>
      <c r="S31" s="10"/>
      <c r="T31" s="10"/>
      <c r="U31" s="10"/>
      <c r="V31" s="10"/>
      <c r="W31" s="10"/>
      <c r="X31" s="10"/>
      <c r="Y31" s="10"/>
      <c r="Z31" s="10"/>
      <c r="AA31" s="10"/>
      <c r="AB31" s="10"/>
      <c r="AC31" s="10"/>
      <c r="AD31" s="10"/>
      <c r="AE31" s="13"/>
      <c r="AF31" s="14"/>
      <c r="AG31" s="10"/>
      <c r="AH31" s="10"/>
      <c r="AI31" s="10"/>
      <c r="AJ31" s="15"/>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row>
    <row r="32" spans="1:69" s="29" customFormat="1">
      <c r="A32" s="1"/>
      <c r="B32" s="9"/>
      <c r="C32" s="10"/>
      <c r="D32" s="10"/>
      <c r="E32" s="10"/>
      <c r="F32" s="11"/>
      <c r="G32" s="12"/>
      <c r="H32" s="10" t="s">
        <v>152</v>
      </c>
      <c r="I32" s="10"/>
      <c r="J32" s="10"/>
      <c r="K32" s="10"/>
      <c r="L32" s="10"/>
      <c r="M32" s="10"/>
      <c r="N32" s="10"/>
      <c r="O32" s="10"/>
      <c r="P32" s="10"/>
      <c r="Q32" s="10"/>
      <c r="R32" s="10"/>
      <c r="S32" s="10"/>
      <c r="T32" s="10"/>
      <c r="U32" s="10"/>
      <c r="V32" s="10"/>
      <c r="W32" s="10"/>
      <c r="X32" s="10"/>
      <c r="Y32" s="10"/>
      <c r="Z32" s="10"/>
      <c r="AA32" s="10"/>
      <c r="AB32" s="10"/>
      <c r="AC32" s="10"/>
      <c r="AD32" s="10"/>
      <c r="AE32" s="13"/>
      <c r="AF32" s="14"/>
      <c r="AG32" s="10"/>
      <c r="AH32" s="10"/>
      <c r="AI32" s="10"/>
      <c r="AJ32" s="15"/>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row>
    <row r="33" spans="1:69" s="29" customFormat="1" ht="15.75" thickBot="1">
      <c r="A33" s="1"/>
      <c r="B33" s="9"/>
      <c r="C33" s="10"/>
      <c r="D33" s="10"/>
      <c r="E33" s="10"/>
      <c r="F33" s="11"/>
      <c r="G33" s="12"/>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13"/>
      <c r="AF33" s="14"/>
      <c r="AG33" s="10"/>
      <c r="AH33" s="10"/>
      <c r="AI33" s="10"/>
      <c r="AJ33" s="15"/>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row>
    <row r="34" spans="1:69" s="29" customFormat="1" ht="15.75" thickBot="1">
      <c r="A34" s="1"/>
      <c r="B34" s="9"/>
      <c r="C34" s="10"/>
      <c r="D34" s="10"/>
      <c r="E34" s="10"/>
      <c r="F34" s="11"/>
      <c r="G34" s="23"/>
      <c r="H34" s="246" t="s">
        <v>153</v>
      </c>
      <c r="I34" s="247"/>
      <c r="J34" s="248" t="s">
        <v>154</v>
      </c>
      <c r="K34" s="249"/>
      <c r="L34" s="249"/>
      <c r="M34" s="249"/>
      <c r="N34" s="249"/>
      <c r="O34" s="249"/>
      <c r="P34" s="249"/>
      <c r="Q34" s="249"/>
      <c r="R34" s="249"/>
      <c r="S34" s="249"/>
      <c r="T34" s="249"/>
      <c r="U34" s="249"/>
      <c r="V34" s="249"/>
      <c r="W34" s="249"/>
      <c r="X34" s="249"/>
      <c r="Y34" s="250"/>
      <c r="Z34" s="251" t="s">
        <v>155</v>
      </c>
      <c r="AA34" s="252"/>
      <c r="AB34" s="252"/>
      <c r="AC34" s="252"/>
      <c r="AD34" s="253"/>
      <c r="AE34" s="23"/>
      <c r="AF34" s="14"/>
      <c r="AG34" s="10"/>
      <c r="AH34" s="10"/>
      <c r="AI34" s="10"/>
      <c r="AJ34" s="15"/>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row>
    <row r="35" spans="1:69" s="29" customFormat="1">
      <c r="A35" s="1"/>
      <c r="B35" s="9"/>
      <c r="C35" s="10"/>
      <c r="D35" s="10"/>
      <c r="E35" s="10"/>
      <c r="F35" s="11"/>
      <c r="G35" s="23"/>
      <c r="H35" s="254">
        <v>0</v>
      </c>
      <c r="I35" s="140"/>
      <c r="J35" s="255" t="s">
        <v>156</v>
      </c>
      <c r="K35" s="256"/>
      <c r="L35" s="256"/>
      <c r="M35" s="256"/>
      <c r="N35" s="256"/>
      <c r="O35" s="256"/>
      <c r="P35" s="256"/>
      <c r="Q35" s="256"/>
      <c r="R35" s="256"/>
      <c r="S35" s="256"/>
      <c r="T35" s="256"/>
      <c r="U35" s="256"/>
      <c r="V35" s="256"/>
      <c r="W35" s="256"/>
      <c r="X35" s="256"/>
      <c r="Y35" s="257"/>
      <c r="Z35" s="258">
        <v>42843</v>
      </c>
      <c r="AA35" s="120"/>
      <c r="AB35" s="120"/>
      <c r="AC35" s="120"/>
      <c r="AD35" s="259"/>
      <c r="AE35" s="23"/>
      <c r="AF35" s="14"/>
      <c r="AG35" s="10"/>
      <c r="AH35" s="10"/>
      <c r="AI35" s="10"/>
      <c r="AJ35" s="15"/>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row>
    <row r="36" spans="1:69" s="29" customFormat="1">
      <c r="A36" s="1"/>
      <c r="B36" s="9"/>
      <c r="C36" s="10"/>
      <c r="D36" s="10"/>
      <c r="E36" s="10"/>
      <c r="F36" s="11"/>
      <c r="G36" s="23"/>
      <c r="H36" s="260"/>
      <c r="I36" s="261"/>
      <c r="J36" s="260"/>
      <c r="K36" s="136"/>
      <c r="L36" s="136"/>
      <c r="M36" s="136"/>
      <c r="N36" s="136"/>
      <c r="O36" s="136"/>
      <c r="P36" s="136"/>
      <c r="Q36" s="136"/>
      <c r="R36" s="136"/>
      <c r="S36" s="136"/>
      <c r="T36" s="136"/>
      <c r="U36" s="136"/>
      <c r="V36" s="136"/>
      <c r="W36" s="136"/>
      <c r="X36" s="136"/>
      <c r="Y36" s="261"/>
      <c r="Z36" s="262"/>
      <c r="AA36" s="136"/>
      <c r="AB36" s="136"/>
      <c r="AC36" s="136"/>
      <c r="AD36" s="261"/>
      <c r="AE36" s="23"/>
      <c r="AF36" s="14"/>
      <c r="AG36" s="10"/>
      <c r="AH36" s="10"/>
      <c r="AI36" s="10"/>
      <c r="AJ36" s="15"/>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row>
    <row r="37" spans="1:69" s="29" customFormat="1">
      <c r="A37" s="1"/>
      <c r="B37" s="9"/>
      <c r="C37" s="10"/>
      <c r="D37" s="10"/>
      <c r="E37" s="10"/>
      <c r="F37" s="11"/>
      <c r="G37" s="23"/>
      <c r="H37" s="260"/>
      <c r="I37" s="261"/>
      <c r="J37" s="260"/>
      <c r="K37" s="136"/>
      <c r="L37" s="136"/>
      <c r="M37" s="136"/>
      <c r="N37" s="136"/>
      <c r="O37" s="136"/>
      <c r="P37" s="136"/>
      <c r="Q37" s="136"/>
      <c r="R37" s="136"/>
      <c r="S37" s="136"/>
      <c r="T37" s="136"/>
      <c r="U37" s="136"/>
      <c r="V37" s="136"/>
      <c r="W37" s="136"/>
      <c r="X37" s="136"/>
      <c r="Y37" s="261"/>
      <c r="Z37" s="262"/>
      <c r="AA37" s="136"/>
      <c r="AB37" s="136"/>
      <c r="AC37" s="136"/>
      <c r="AD37" s="261"/>
      <c r="AE37" s="23"/>
      <c r="AF37" s="14"/>
      <c r="AG37" s="10"/>
      <c r="AH37" s="10"/>
      <c r="AI37" s="10"/>
      <c r="AJ37" s="15"/>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row>
    <row r="38" spans="1:69" s="29" customFormat="1">
      <c r="A38" s="1"/>
      <c r="B38" s="9"/>
      <c r="C38" s="10"/>
      <c r="D38" s="10"/>
      <c r="E38" s="10"/>
      <c r="F38" s="11"/>
      <c r="G38" s="23"/>
      <c r="H38" s="260"/>
      <c r="I38" s="261"/>
      <c r="J38" s="260"/>
      <c r="K38" s="136"/>
      <c r="L38" s="136"/>
      <c r="M38" s="136"/>
      <c r="N38" s="136"/>
      <c r="O38" s="136"/>
      <c r="P38" s="136"/>
      <c r="Q38" s="136"/>
      <c r="R38" s="136"/>
      <c r="S38" s="136"/>
      <c r="T38" s="136"/>
      <c r="U38" s="136"/>
      <c r="V38" s="136"/>
      <c r="W38" s="136"/>
      <c r="X38" s="136"/>
      <c r="Y38" s="261"/>
      <c r="Z38" s="262"/>
      <c r="AA38" s="136"/>
      <c r="AB38" s="136"/>
      <c r="AC38" s="136"/>
      <c r="AD38" s="261"/>
      <c r="AE38" s="23"/>
      <c r="AF38" s="14"/>
      <c r="AG38" s="10"/>
      <c r="AH38" s="10"/>
      <c r="AI38" s="10"/>
      <c r="AJ38" s="15"/>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row>
    <row r="39" spans="1:69" s="29" customFormat="1">
      <c r="A39" s="1"/>
      <c r="B39" s="9"/>
      <c r="C39" s="10"/>
      <c r="D39" s="10"/>
      <c r="E39" s="10"/>
      <c r="F39" s="11"/>
      <c r="G39" s="23"/>
      <c r="H39" s="260"/>
      <c r="I39" s="261"/>
      <c r="J39" s="260"/>
      <c r="K39" s="136"/>
      <c r="L39" s="136"/>
      <c r="M39" s="136"/>
      <c r="N39" s="136"/>
      <c r="O39" s="136"/>
      <c r="P39" s="136"/>
      <c r="Q39" s="136"/>
      <c r="R39" s="136"/>
      <c r="S39" s="136"/>
      <c r="T39" s="136"/>
      <c r="U39" s="136"/>
      <c r="V39" s="136"/>
      <c r="W39" s="136"/>
      <c r="X39" s="136"/>
      <c r="Y39" s="261"/>
      <c r="Z39" s="262"/>
      <c r="AA39" s="136"/>
      <c r="AB39" s="136"/>
      <c r="AC39" s="136"/>
      <c r="AD39" s="261"/>
      <c r="AE39" s="23"/>
      <c r="AF39" s="14"/>
      <c r="AG39" s="10"/>
      <c r="AH39" s="10"/>
      <c r="AI39" s="10"/>
      <c r="AJ39" s="15"/>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row>
    <row r="40" spans="1:69" s="29" customFormat="1" ht="15.75" thickBot="1">
      <c r="A40" s="1"/>
      <c r="B40" s="9"/>
      <c r="C40" s="10"/>
      <c r="D40" s="10"/>
      <c r="E40" s="10"/>
      <c r="F40" s="11"/>
      <c r="G40" s="23"/>
      <c r="H40" s="263"/>
      <c r="I40" s="87"/>
      <c r="J40" s="263"/>
      <c r="K40" s="86"/>
      <c r="L40" s="86"/>
      <c r="M40" s="86"/>
      <c r="N40" s="86"/>
      <c r="O40" s="86"/>
      <c r="P40" s="86"/>
      <c r="Q40" s="86"/>
      <c r="R40" s="86"/>
      <c r="S40" s="86"/>
      <c r="T40" s="86"/>
      <c r="U40" s="86"/>
      <c r="V40" s="86"/>
      <c r="W40" s="86"/>
      <c r="X40" s="86"/>
      <c r="Y40" s="87"/>
      <c r="Z40" s="264"/>
      <c r="AA40" s="86"/>
      <c r="AB40" s="86"/>
      <c r="AC40" s="86"/>
      <c r="AD40" s="87"/>
      <c r="AE40" s="23"/>
      <c r="AF40" s="14"/>
      <c r="AG40" s="10"/>
      <c r="AH40" s="10"/>
      <c r="AI40" s="10"/>
      <c r="AJ40" s="15"/>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row>
    <row r="41" spans="1:69" s="29" customFormat="1">
      <c r="A41" s="1"/>
      <c r="B41" s="9"/>
      <c r="C41" s="10"/>
      <c r="D41" s="10"/>
      <c r="E41" s="10"/>
      <c r="F41" s="11"/>
      <c r="G41" s="12"/>
      <c r="H41" s="3"/>
      <c r="I41" s="3"/>
      <c r="J41" s="3"/>
      <c r="K41" s="3"/>
      <c r="L41" s="3"/>
      <c r="M41" s="3"/>
      <c r="N41" s="3"/>
      <c r="O41" s="3"/>
      <c r="P41" s="3"/>
      <c r="Q41" s="3"/>
      <c r="R41" s="3"/>
      <c r="S41" s="3"/>
      <c r="T41" s="3"/>
      <c r="U41" s="3"/>
      <c r="V41" s="3"/>
      <c r="W41" s="3"/>
      <c r="X41" s="3"/>
      <c r="Y41" s="3"/>
      <c r="Z41" s="3"/>
      <c r="AA41" s="3"/>
      <c r="AB41" s="3"/>
      <c r="AC41" s="3"/>
      <c r="AD41" s="3"/>
      <c r="AE41" s="13"/>
      <c r="AF41" s="14"/>
      <c r="AG41" s="10"/>
      <c r="AH41" s="10"/>
      <c r="AI41" s="10"/>
      <c r="AJ41" s="15"/>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row>
    <row r="42" spans="1:69" s="29" customFormat="1">
      <c r="A42" s="1"/>
      <c r="B42" s="9"/>
      <c r="C42" s="10"/>
      <c r="D42" s="10"/>
      <c r="E42" s="10"/>
      <c r="F42" s="11"/>
      <c r="G42" s="12"/>
      <c r="H42" s="10"/>
      <c r="I42" s="10"/>
      <c r="J42" s="10"/>
      <c r="K42" s="10"/>
      <c r="L42" s="10"/>
      <c r="M42" s="10"/>
      <c r="N42" s="10"/>
      <c r="O42" s="10"/>
      <c r="P42" s="10"/>
      <c r="Q42" s="10"/>
      <c r="R42" s="10"/>
      <c r="S42" s="10"/>
      <c r="T42" s="10"/>
      <c r="U42" s="10"/>
      <c r="V42" s="10"/>
      <c r="W42" s="10"/>
      <c r="X42" s="10"/>
      <c r="Y42" s="10"/>
      <c r="Z42" s="10"/>
      <c r="AA42" s="10"/>
      <c r="AB42" s="10"/>
      <c r="AC42" s="10"/>
      <c r="AD42" s="10"/>
      <c r="AE42" s="13"/>
      <c r="AF42" s="14"/>
      <c r="AG42" s="10"/>
      <c r="AH42" s="10"/>
      <c r="AI42" s="10"/>
      <c r="AJ42" s="15"/>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row>
    <row r="43" spans="1:69" s="29" customFormat="1">
      <c r="A43" s="1"/>
      <c r="B43" s="9"/>
      <c r="C43" s="10"/>
      <c r="D43" s="10"/>
      <c r="E43" s="10"/>
      <c r="F43" s="11"/>
      <c r="G43" s="12"/>
      <c r="H43" s="10"/>
      <c r="I43" s="10"/>
      <c r="J43" s="10"/>
      <c r="K43" s="10"/>
      <c r="L43" s="10"/>
      <c r="M43" s="10"/>
      <c r="N43" s="10"/>
      <c r="O43" s="10"/>
      <c r="P43" s="10"/>
      <c r="Q43" s="10"/>
      <c r="R43" s="10"/>
      <c r="S43" s="10"/>
      <c r="T43" s="10"/>
      <c r="U43" s="10"/>
      <c r="V43" s="10"/>
      <c r="W43" s="10"/>
      <c r="X43" s="10"/>
      <c r="Y43" s="10"/>
      <c r="Z43" s="10"/>
      <c r="AA43" s="10"/>
      <c r="AB43" s="10"/>
      <c r="AC43" s="10"/>
      <c r="AD43" s="10"/>
      <c r="AE43" s="13"/>
      <c r="AF43" s="14"/>
      <c r="AG43" s="10"/>
      <c r="AH43" s="10"/>
      <c r="AI43" s="10"/>
      <c r="AJ43" s="15"/>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row>
    <row r="44" spans="1:69" s="29" customFormat="1">
      <c r="A44" s="1"/>
      <c r="B44" s="9"/>
      <c r="C44" s="10"/>
      <c r="D44" s="10"/>
      <c r="E44" s="10"/>
      <c r="F44" s="11"/>
      <c r="G44" s="12"/>
      <c r="H44" s="10"/>
      <c r="I44" s="10"/>
      <c r="J44" s="10"/>
      <c r="K44" s="10"/>
      <c r="L44" s="10"/>
      <c r="M44" s="10"/>
      <c r="N44" s="10"/>
      <c r="O44" s="10"/>
      <c r="P44" s="10"/>
      <c r="Q44" s="10"/>
      <c r="R44" s="10"/>
      <c r="S44" s="10"/>
      <c r="T44" s="10"/>
      <c r="U44" s="10"/>
      <c r="V44" s="10"/>
      <c r="W44" s="10"/>
      <c r="X44" s="10"/>
      <c r="Y44" s="10"/>
      <c r="Z44" s="10"/>
      <c r="AA44" s="10"/>
      <c r="AB44" s="10"/>
      <c r="AC44" s="10"/>
      <c r="AD44" s="10"/>
      <c r="AE44" s="13"/>
      <c r="AF44" s="14"/>
      <c r="AG44" s="10"/>
      <c r="AH44" s="10"/>
      <c r="AI44" s="10"/>
      <c r="AJ44" s="15"/>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row>
    <row r="45" spans="1:69" s="29" customFormat="1">
      <c r="A45" s="1"/>
      <c r="B45" s="9"/>
      <c r="C45" s="10"/>
      <c r="D45" s="10"/>
      <c r="E45" s="10"/>
      <c r="F45" s="11"/>
      <c r="G45" s="12"/>
      <c r="H45" s="10"/>
      <c r="I45" s="10"/>
      <c r="J45" s="10"/>
      <c r="K45" s="10"/>
      <c r="L45" s="10"/>
      <c r="M45" s="10"/>
      <c r="N45" s="10"/>
      <c r="O45" s="10"/>
      <c r="P45" s="10"/>
      <c r="Q45" s="10"/>
      <c r="R45" s="10"/>
      <c r="S45" s="10"/>
      <c r="T45" s="10"/>
      <c r="U45" s="10"/>
      <c r="V45" s="10"/>
      <c r="W45" s="10"/>
      <c r="X45" s="10"/>
      <c r="Y45" s="10"/>
      <c r="Z45" s="10"/>
      <c r="AA45" s="10"/>
      <c r="AB45" s="10"/>
      <c r="AC45" s="10"/>
      <c r="AD45" s="10"/>
      <c r="AE45" s="13"/>
      <c r="AF45" s="14"/>
      <c r="AG45" s="10"/>
      <c r="AH45" s="10"/>
      <c r="AI45" s="10"/>
      <c r="AJ45" s="15"/>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row>
    <row r="46" spans="1:69" s="29" customFormat="1">
      <c r="A46" s="1"/>
      <c r="B46" s="9"/>
      <c r="C46" s="10"/>
      <c r="D46" s="10"/>
      <c r="E46" s="10"/>
      <c r="F46" s="11"/>
      <c r="G46" s="12"/>
      <c r="H46" s="10"/>
      <c r="I46" s="10"/>
      <c r="J46" s="10"/>
      <c r="K46" s="10"/>
      <c r="L46" s="10"/>
      <c r="M46" s="10"/>
      <c r="N46" s="10"/>
      <c r="O46" s="10"/>
      <c r="P46" s="10"/>
      <c r="Q46" s="10"/>
      <c r="R46" s="10"/>
      <c r="S46" s="10"/>
      <c r="T46" s="10"/>
      <c r="U46" s="10"/>
      <c r="V46" s="10"/>
      <c r="W46" s="10"/>
      <c r="X46" s="10"/>
      <c r="Y46" s="10"/>
      <c r="Z46" s="10"/>
      <c r="AA46" s="10"/>
      <c r="AB46" s="10"/>
      <c r="AC46" s="10"/>
      <c r="AD46" s="10"/>
      <c r="AE46" s="13"/>
      <c r="AF46" s="14"/>
      <c r="AG46" s="10"/>
      <c r="AH46" s="10"/>
      <c r="AI46" s="10"/>
      <c r="AJ46" s="15"/>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row>
    <row r="47" spans="1:69" s="29" customFormat="1">
      <c r="A47" s="1"/>
      <c r="B47" s="9"/>
      <c r="C47" s="10"/>
      <c r="D47" s="10"/>
      <c r="E47" s="10"/>
      <c r="F47" s="11"/>
      <c r="G47" s="12"/>
      <c r="H47" s="10"/>
      <c r="I47" s="10"/>
      <c r="J47" s="10"/>
      <c r="K47" s="10"/>
      <c r="L47" s="10"/>
      <c r="M47" s="10"/>
      <c r="N47" s="10"/>
      <c r="O47" s="10"/>
      <c r="P47" s="10"/>
      <c r="Q47" s="10"/>
      <c r="R47" s="10"/>
      <c r="S47" s="10"/>
      <c r="T47" s="10"/>
      <c r="U47" s="10"/>
      <c r="V47" s="10"/>
      <c r="W47" s="10"/>
      <c r="X47" s="10"/>
      <c r="Y47" s="10"/>
      <c r="Z47" s="10"/>
      <c r="AA47" s="10"/>
      <c r="AB47" s="10"/>
      <c r="AC47" s="10"/>
      <c r="AD47" s="10"/>
      <c r="AE47" s="13"/>
      <c r="AF47" s="14"/>
      <c r="AG47" s="10"/>
      <c r="AH47" s="10"/>
      <c r="AI47" s="10"/>
      <c r="AJ47" s="15"/>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row>
    <row r="48" spans="1:69" s="29" customFormat="1">
      <c r="A48" s="1"/>
      <c r="B48" s="9"/>
      <c r="C48" s="10"/>
      <c r="D48" s="10"/>
      <c r="E48" s="10"/>
      <c r="F48" s="11"/>
      <c r="G48" s="12"/>
      <c r="H48" s="10"/>
      <c r="I48" s="10"/>
      <c r="J48" s="10"/>
      <c r="K48" s="10"/>
      <c r="L48" s="10"/>
      <c r="M48" s="10"/>
      <c r="N48" s="10"/>
      <c r="O48" s="10"/>
      <c r="P48" s="10"/>
      <c r="Q48" s="10"/>
      <c r="R48" s="10"/>
      <c r="S48" s="10"/>
      <c r="T48" s="10"/>
      <c r="U48" s="10"/>
      <c r="V48" s="10"/>
      <c r="W48" s="10"/>
      <c r="X48" s="10"/>
      <c r="Y48" s="10"/>
      <c r="Z48" s="10"/>
      <c r="AA48" s="10"/>
      <c r="AB48" s="10"/>
      <c r="AC48" s="10"/>
      <c r="AD48" s="10"/>
      <c r="AE48" s="13"/>
      <c r="AF48" s="14"/>
      <c r="AG48" s="10"/>
      <c r="AH48" s="10"/>
      <c r="AI48" s="10"/>
      <c r="AJ48" s="15"/>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row>
    <row r="49" spans="1:69" s="29" customFormat="1">
      <c r="A49" s="1"/>
      <c r="B49" s="9"/>
      <c r="C49" s="10"/>
      <c r="D49" s="10"/>
      <c r="E49" s="10"/>
      <c r="F49" s="11"/>
      <c r="G49" s="12"/>
      <c r="H49" s="10"/>
      <c r="I49" s="10"/>
      <c r="J49" s="10"/>
      <c r="K49" s="10"/>
      <c r="L49" s="10"/>
      <c r="M49" s="10"/>
      <c r="N49" s="10"/>
      <c r="O49" s="10"/>
      <c r="P49" s="10"/>
      <c r="Q49" s="10"/>
      <c r="R49" s="10"/>
      <c r="S49" s="10"/>
      <c r="T49" s="10"/>
      <c r="U49" s="10"/>
      <c r="V49" s="10"/>
      <c r="W49" s="10"/>
      <c r="X49" s="10"/>
      <c r="Y49" s="10"/>
      <c r="Z49" s="10"/>
      <c r="AA49" s="10"/>
      <c r="AB49" s="10"/>
      <c r="AC49" s="10"/>
      <c r="AD49" s="10"/>
      <c r="AE49" s="13"/>
      <c r="AF49" s="14"/>
      <c r="AG49" s="10"/>
      <c r="AH49" s="10"/>
      <c r="AI49" s="10"/>
      <c r="AJ49" s="15"/>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row>
    <row r="50" spans="1:69" s="29" customFormat="1">
      <c r="A50" s="1"/>
      <c r="B50" s="9"/>
      <c r="C50" s="10"/>
      <c r="D50" s="10"/>
      <c r="E50" s="10"/>
      <c r="F50" s="11"/>
      <c r="G50" s="12"/>
      <c r="H50" s="10"/>
      <c r="I50" s="10"/>
      <c r="J50" s="10"/>
      <c r="K50" s="10"/>
      <c r="L50" s="10"/>
      <c r="M50" s="10"/>
      <c r="N50" s="10"/>
      <c r="O50" s="10"/>
      <c r="P50" s="10"/>
      <c r="Q50" s="10"/>
      <c r="R50" s="10"/>
      <c r="S50" s="10"/>
      <c r="T50" s="10"/>
      <c r="U50" s="10"/>
      <c r="V50" s="10"/>
      <c r="W50" s="10"/>
      <c r="X50" s="10"/>
      <c r="Y50" s="10"/>
      <c r="Z50" s="10"/>
      <c r="AA50" s="10"/>
      <c r="AB50" s="10"/>
      <c r="AC50" s="10"/>
      <c r="AD50" s="10"/>
      <c r="AE50" s="13"/>
      <c r="AF50" s="14"/>
      <c r="AG50" s="10"/>
      <c r="AH50" s="10"/>
      <c r="AI50" s="10"/>
      <c r="AJ50" s="15"/>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row>
    <row r="51" spans="1:69" s="29" customFormat="1">
      <c r="A51" s="1"/>
      <c r="B51" s="9"/>
      <c r="C51" s="10"/>
      <c r="D51" s="10"/>
      <c r="E51" s="10"/>
      <c r="F51" s="11"/>
      <c r="G51" s="12"/>
      <c r="H51" s="10"/>
      <c r="I51" s="10"/>
      <c r="J51" s="10"/>
      <c r="K51" s="10"/>
      <c r="L51" s="10"/>
      <c r="M51" s="10"/>
      <c r="N51" s="10"/>
      <c r="O51" s="10"/>
      <c r="P51" s="10"/>
      <c r="Q51" s="10"/>
      <c r="R51" s="10"/>
      <c r="S51" s="10"/>
      <c r="T51" s="10"/>
      <c r="U51" s="10"/>
      <c r="V51" s="10"/>
      <c r="W51" s="10"/>
      <c r="X51" s="10"/>
      <c r="Y51" s="10"/>
      <c r="Z51" s="10"/>
      <c r="AA51" s="10"/>
      <c r="AB51" s="10"/>
      <c r="AC51" s="10"/>
      <c r="AD51" s="10"/>
      <c r="AE51" s="13"/>
      <c r="AF51" s="14"/>
      <c r="AG51" s="10"/>
      <c r="AH51" s="10"/>
      <c r="AI51" s="10"/>
      <c r="AJ51" s="15"/>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row>
    <row r="52" spans="1:69" s="29" customFormat="1" ht="15.75" thickBot="1">
      <c r="A52" s="1"/>
      <c r="B52" s="16"/>
      <c r="C52" s="17"/>
      <c r="D52" s="17"/>
      <c r="E52" s="17"/>
      <c r="F52" s="18"/>
      <c r="G52" s="19"/>
      <c r="H52" s="17"/>
      <c r="I52" s="17"/>
      <c r="J52" s="17"/>
      <c r="K52" s="17"/>
      <c r="L52" s="17"/>
      <c r="M52" s="17"/>
      <c r="N52" s="17"/>
      <c r="O52" s="17"/>
      <c r="P52" s="17"/>
      <c r="Q52" s="17"/>
      <c r="R52" s="17"/>
      <c r="S52" s="17"/>
      <c r="T52" s="17"/>
      <c r="U52" s="17"/>
      <c r="V52" s="17"/>
      <c r="W52" s="17"/>
      <c r="X52" s="17"/>
      <c r="Y52" s="17"/>
      <c r="Z52" s="17"/>
      <c r="AA52" s="17"/>
      <c r="AB52" s="17"/>
      <c r="AC52" s="17"/>
      <c r="AD52" s="17"/>
      <c r="AE52" s="20"/>
      <c r="AF52" s="21"/>
      <c r="AG52" s="17"/>
      <c r="AH52" s="17"/>
      <c r="AI52" s="17"/>
      <c r="AJ52" s="22"/>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row>
    <row r="53" spans="1:69" s="214" customFormat="1"/>
    <row r="54" spans="1:69" s="214" customFormat="1"/>
    <row r="55" spans="1:69" s="214" customFormat="1"/>
    <row r="56" spans="1:69" s="214" customFormat="1"/>
    <row r="57" spans="1:69" s="214" customFormat="1"/>
    <row r="58" spans="1:69" s="214" customFormat="1"/>
    <row r="59" spans="1:69" s="214" customFormat="1"/>
    <row r="60" spans="1:69" s="214" customFormat="1"/>
    <row r="61" spans="1:69" s="214" customFormat="1"/>
    <row r="62" spans="1:69" s="214" customFormat="1"/>
    <row r="63" spans="1:69" s="214" customFormat="1"/>
    <row r="64" spans="1:69" s="214" customFormat="1"/>
    <row r="65" s="214" customFormat="1"/>
    <row r="66" s="214" customFormat="1"/>
    <row r="67" s="214" customFormat="1"/>
    <row r="68" s="214" customFormat="1"/>
    <row r="69" s="214" customFormat="1"/>
    <row r="70" s="214" customFormat="1"/>
    <row r="71" s="214" customFormat="1"/>
    <row r="72" s="214" customFormat="1"/>
    <row r="73" s="214" customFormat="1"/>
    <row r="74" s="214" customFormat="1"/>
    <row r="75" s="214" customFormat="1"/>
    <row r="76" s="214" customFormat="1"/>
    <row r="77" s="214" customFormat="1"/>
    <row r="78" s="214" customFormat="1"/>
    <row r="79" s="214" customFormat="1"/>
    <row r="80" s="214" customFormat="1"/>
    <row r="81" s="214" customFormat="1"/>
    <row r="82" s="214" customFormat="1"/>
    <row r="83" s="214" customFormat="1"/>
    <row r="84" s="214" customFormat="1"/>
    <row r="85" s="214" customFormat="1"/>
    <row r="86" s="214" customFormat="1"/>
    <row r="87" s="214" customFormat="1"/>
    <row r="88" s="214" customFormat="1"/>
    <row r="89" s="214" customFormat="1"/>
    <row r="90" s="214" customFormat="1"/>
    <row r="91" s="214" customFormat="1"/>
    <row r="92" s="214" customFormat="1"/>
    <row r="93" s="214" customFormat="1"/>
    <row r="94" s="214" customFormat="1"/>
    <row r="95" s="214" customFormat="1"/>
    <row r="96" s="214" customFormat="1"/>
    <row r="97" s="214" customFormat="1"/>
    <row r="98" s="214" customFormat="1"/>
    <row r="99" s="214" customFormat="1"/>
    <row r="100" s="214" customFormat="1"/>
    <row r="101" s="214" customFormat="1"/>
    <row r="102" s="214" customFormat="1"/>
    <row r="103" s="214" customFormat="1"/>
    <row r="104" s="214" customFormat="1"/>
    <row r="105" s="214" customFormat="1"/>
  </sheetData>
  <sheetProtection password="E71C" sheet="1" objects="1" scenarios="1" selectLockedCells="1"/>
  <mergeCells count="46">
    <mergeCell ref="H40:I40"/>
    <mergeCell ref="J40:Y40"/>
    <mergeCell ref="Z40:AD40"/>
    <mergeCell ref="H38:I38"/>
    <mergeCell ref="J38:Y38"/>
    <mergeCell ref="Z38:AD38"/>
    <mergeCell ref="H39:I39"/>
    <mergeCell ref="J39:Y39"/>
    <mergeCell ref="Z39:AD39"/>
    <mergeCell ref="H36:I36"/>
    <mergeCell ref="J36:Y36"/>
    <mergeCell ref="Z36:AD36"/>
    <mergeCell ref="H37:I37"/>
    <mergeCell ref="J37:Y37"/>
    <mergeCell ref="Z37:AD37"/>
    <mergeCell ref="H26:AD27"/>
    <mergeCell ref="H29:X29"/>
    <mergeCell ref="H34:I34"/>
    <mergeCell ref="J34:Y34"/>
    <mergeCell ref="Z34:AD34"/>
    <mergeCell ref="H35:I35"/>
    <mergeCell ref="J35:Y35"/>
    <mergeCell ref="Z35:AD35"/>
    <mergeCell ref="H7:AD12"/>
    <mergeCell ref="H14:AD16"/>
    <mergeCell ref="H18:AD18"/>
    <mergeCell ref="H20:AD21"/>
    <mergeCell ref="H23:M23"/>
    <mergeCell ref="H24:AD24"/>
    <mergeCell ref="G4:AE4"/>
    <mergeCell ref="AF4:AJ4"/>
    <mergeCell ref="G5:L5"/>
    <mergeCell ref="M5:S5"/>
    <mergeCell ref="T5:Y5"/>
    <mergeCell ref="Z5:AE5"/>
    <mergeCell ref="AF5:AJ5"/>
    <mergeCell ref="B1:F1"/>
    <mergeCell ref="G1:AE1"/>
    <mergeCell ref="AF1:AJ1"/>
    <mergeCell ref="B2:F5"/>
    <mergeCell ref="G2:L2"/>
    <mergeCell ref="M2:AE2"/>
    <mergeCell ref="AF2:AJ2"/>
    <mergeCell ref="G3:L3"/>
    <mergeCell ref="M3:AE3"/>
    <mergeCell ref="AF3:AJ3"/>
  </mergeCells>
  <hyperlinks>
    <hyperlink ref="H3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182"/>
  <sheetViews>
    <sheetView topLeftCell="A15" zoomScaleNormal="100" workbookViewId="0">
      <selection activeCell="P60" sqref="P60:R60"/>
    </sheetView>
  </sheetViews>
  <sheetFormatPr defaultRowHeight="15"/>
  <cols>
    <col min="1" max="1" width="1" style="1" customWidth="1"/>
    <col min="2" max="37" width="2.42578125" style="1" customWidth="1"/>
    <col min="38" max="38" width="3" style="1" bestFit="1" customWidth="1"/>
    <col min="39" max="42" width="3" style="1" customWidth="1"/>
    <col min="43" max="75" width="7.85546875" style="1" customWidth="1"/>
    <col min="76" max="76" width="2.85546875" style="1" customWidth="1"/>
    <col min="77" max="78" width="3" style="1" customWidth="1"/>
    <col min="79" max="79" width="3" style="1" hidden="1" customWidth="1"/>
    <col min="80" max="80" width="5.5703125" style="1" bestFit="1" customWidth="1"/>
    <col min="81" max="81" width="12" style="1" bestFit="1" customWidth="1"/>
    <col min="82" max="82" width="12" style="1" hidden="1" customWidth="1"/>
    <col min="83" max="85" width="2.42578125" style="1" hidden="1" customWidth="1"/>
    <col min="86" max="86" width="17.85546875" style="29" bestFit="1" customWidth="1"/>
    <col min="87" max="87" width="43.42578125" style="53" bestFit="1" customWidth="1"/>
    <col min="88" max="89" width="12" style="29" bestFit="1" customWidth="1"/>
    <col min="90" max="90" width="9" style="29" bestFit="1" customWidth="1"/>
    <col min="91" max="91" width="13.85546875" style="29" bestFit="1" customWidth="1"/>
    <col min="92" max="92" width="9.85546875" style="29" bestFit="1" customWidth="1"/>
    <col min="93" max="93" width="22.42578125" style="29" bestFit="1" customWidth="1"/>
    <col min="94" max="95" width="12" style="29" bestFit="1" customWidth="1"/>
    <col min="96" max="96" width="8" style="29" bestFit="1" customWidth="1"/>
    <col min="97" max="98" width="11.28515625" style="29" bestFit="1" customWidth="1"/>
    <col min="99" max="100" width="12" style="29" bestFit="1" customWidth="1"/>
    <col min="101" max="102" width="12.85546875" style="29" bestFit="1" customWidth="1"/>
    <col min="103" max="103" width="7.7109375" style="29" bestFit="1" customWidth="1"/>
    <col min="104" max="104" width="4" style="29" bestFit="1" customWidth="1"/>
    <col min="105" max="107" width="12" style="29" bestFit="1" customWidth="1"/>
    <col min="108" max="108" width="3" style="29" bestFit="1" customWidth="1"/>
    <col min="109" max="109" width="0" style="29" hidden="1" customWidth="1"/>
    <col min="110" max="110" width="4" style="29" bestFit="1" customWidth="1"/>
    <col min="111" max="113" width="12" style="29" bestFit="1" customWidth="1"/>
    <col min="114" max="114" width="3" style="29" bestFit="1" customWidth="1"/>
    <col min="115" max="115" width="0" style="29" hidden="1" customWidth="1"/>
    <col min="116" max="116" width="4" style="29" bestFit="1" customWidth="1"/>
    <col min="117" max="119" width="12" style="29" bestFit="1" customWidth="1"/>
    <col min="120" max="120" width="3" style="29" bestFit="1" customWidth="1"/>
    <col min="121" max="131" width="0" style="29" hidden="1" customWidth="1"/>
    <col min="132" max="132" width="16" style="1" bestFit="1" customWidth="1"/>
    <col min="133" max="133" width="2.140625" style="1" bestFit="1" customWidth="1"/>
    <col min="134" max="134" width="16" style="1" bestFit="1" customWidth="1"/>
    <col min="135" max="135" width="5" style="1" bestFit="1" customWidth="1"/>
    <col min="136" max="136" width="9.140625" style="1" hidden="1" customWidth="1"/>
    <col min="137" max="137" width="7.7109375" style="1" bestFit="1" customWidth="1"/>
    <col min="138" max="138" width="13.42578125" style="1" bestFit="1" customWidth="1"/>
    <col min="139" max="139" width="14.42578125" style="1" bestFit="1" customWidth="1"/>
    <col min="140" max="142" width="6" style="1" bestFit="1" customWidth="1"/>
    <col min="143" max="145" width="5" style="1" bestFit="1" customWidth="1"/>
    <col min="146" max="146" width="5" bestFit="1" customWidth="1"/>
    <col min="147" max="147" width="4" bestFit="1" customWidth="1"/>
    <col min="148" max="150" width="0" hidden="1" customWidth="1"/>
    <col min="151" max="151" width="8.7109375" bestFit="1" customWidth="1"/>
    <col min="152" max="152" width="6" bestFit="1" customWidth="1"/>
    <col min="153" max="154" width="12" bestFit="1" customWidth="1"/>
    <col min="155" max="155" width="0" hidden="1" customWidth="1"/>
    <col min="156" max="156" width="12.85546875" bestFit="1" customWidth="1"/>
    <col min="157" max="158" width="12" bestFit="1" customWidth="1"/>
    <col min="159" max="159" width="4" bestFit="1" customWidth="1"/>
    <col min="160" max="161" width="12" bestFit="1" customWidth="1"/>
    <col min="162" max="162" width="4" bestFit="1" customWidth="1"/>
    <col min="163" max="165" width="12" bestFit="1" customWidth="1"/>
    <col min="166" max="166" width="0" hidden="1" customWidth="1"/>
    <col min="167" max="167" width="7.140625" bestFit="1" customWidth="1"/>
    <col min="168" max="168" width="4" bestFit="1" customWidth="1"/>
    <col min="169" max="169" width="6" bestFit="1" customWidth="1"/>
    <col min="170" max="170" width="0" hidden="1" customWidth="1"/>
    <col min="171" max="171" width="8.140625" bestFit="1" customWidth="1"/>
    <col min="172" max="172" width="4" bestFit="1" customWidth="1"/>
    <col min="173" max="173" width="6" bestFit="1" customWidth="1"/>
    <col min="174" max="174" width="0" style="29" hidden="1" customWidth="1"/>
    <col min="175" max="175" width="8.140625" style="29" bestFit="1" customWidth="1"/>
    <col min="176" max="176" width="4" style="29" bestFit="1" customWidth="1"/>
    <col min="177" max="177" width="7" style="29" bestFit="1" customWidth="1"/>
    <col min="178" max="178" width="6.28515625" bestFit="1" customWidth="1"/>
    <col min="179" max="179" width="4.7109375" bestFit="1" customWidth="1"/>
    <col min="180" max="180" width="7" bestFit="1" customWidth="1"/>
    <col min="181" max="181" width="0" style="51" hidden="1" customWidth="1"/>
    <col min="182" max="182" width="8.7109375" style="51" bestFit="1" customWidth="1"/>
    <col min="183" max="183" width="6" style="51" bestFit="1" customWidth="1"/>
    <col min="184" max="185" width="12" style="51" bestFit="1" customWidth="1"/>
    <col min="186" max="186" width="0" style="51" hidden="1" customWidth="1"/>
    <col min="187" max="187" width="12.85546875" style="51" bestFit="1" customWidth="1"/>
    <col min="188" max="189" width="12" style="51" bestFit="1" customWidth="1"/>
    <col min="190" max="190" width="4" style="51" bestFit="1" customWidth="1"/>
    <col min="191" max="192" width="12" style="51" bestFit="1" customWidth="1"/>
    <col min="193" max="193" width="4" style="51" bestFit="1" customWidth="1"/>
    <col min="194" max="196" width="12" style="51" bestFit="1" customWidth="1"/>
    <col min="197" max="197" width="0" style="51" hidden="1" customWidth="1"/>
    <col min="198" max="198" width="7.140625" style="51" bestFit="1" customWidth="1"/>
    <col min="199" max="199" width="4" style="51" bestFit="1" customWidth="1"/>
    <col min="200" max="200" width="6" style="51" bestFit="1" customWidth="1"/>
    <col min="201" max="201" width="0" style="51" hidden="1" customWidth="1"/>
    <col min="202" max="202" width="8.140625" style="51" bestFit="1" customWidth="1"/>
    <col min="203" max="203" width="4" style="51" bestFit="1" customWidth="1"/>
    <col min="204" max="204" width="6" style="51" bestFit="1" customWidth="1"/>
    <col min="205" max="205" width="0" style="51" hidden="1" customWidth="1"/>
    <col min="206" max="206" width="8.140625" style="51" bestFit="1" customWidth="1"/>
    <col min="207" max="207" width="4" style="51" bestFit="1" customWidth="1"/>
    <col min="208" max="208" width="7" style="51" bestFit="1" customWidth="1"/>
    <col min="209" max="209" width="6.28515625" style="51" bestFit="1" customWidth="1"/>
    <col min="210" max="210" width="4.7109375" style="51" bestFit="1" customWidth="1"/>
    <col min="211" max="211" width="7" style="51" bestFit="1" customWidth="1"/>
    <col min="212" max="212" width="0" style="29" hidden="1" customWidth="1"/>
    <col min="213" max="213" width="0" hidden="1" customWidth="1"/>
  </cols>
  <sheetData>
    <row r="1" spans="2:211" ht="4.5" customHeight="1" thickBot="1">
      <c r="EP1" s="25"/>
      <c r="EQ1" s="25"/>
    </row>
    <row r="2" spans="2:211">
      <c r="B2" s="146" t="s">
        <v>3</v>
      </c>
      <c r="C2" s="147"/>
      <c r="D2" s="147"/>
      <c r="E2" s="147"/>
      <c r="F2" s="148"/>
      <c r="G2" s="155" t="s">
        <v>4</v>
      </c>
      <c r="H2" s="156"/>
      <c r="I2" s="156"/>
      <c r="J2" s="156"/>
      <c r="K2" s="156"/>
      <c r="L2" s="156"/>
      <c r="M2" s="157"/>
      <c r="N2" s="158"/>
      <c r="O2" s="158"/>
      <c r="P2" s="158"/>
      <c r="Q2" s="158"/>
      <c r="R2" s="158"/>
      <c r="S2" s="158"/>
      <c r="T2" s="158"/>
      <c r="U2" s="158"/>
      <c r="V2" s="158"/>
      <c r="W2" s="158"/>
      <c r="X2" s="158"/>
      <c r="Y2" s="158"/>
      <c r="Z2" s="158"/>
      <c r="AA2" s="158"/>
      <c r="AB2" s="158"/>
      <c r="AC2" s="158"/>
      <c r="AD2" s="158"/>
      <c r="AE2" s="159"/>
      <c r="AF2" s="160" t="s">
        <v>5</v>
      </c>
      <c r="AG2" s="156"/>
      <c r="AH2" s="156"/>
      <c r="AI2" s="156"/>
      <c r="AJ2" s="16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29" t="s">
        <v>46</v>
      </c>
      <c r="CI2" s="53" t="s">
        <v>47</v>
      </c>
      <c r="CJ2" s="49">
        <v>5000</v>
      </c>
      <c r="CK2" s="29" t="s">
        <v>48</v>
      </c>
      <c r="EG2" s="26"/>
      <c r="EH2" s="26"/>
      <c r="EI2" s="26"/>
      <c r="EJ2" s="26"/>
      <c r="EK2" s="26"/>
      <c r="EL2" s="26"/>
      <c r="EM2" s="26"/>
      <c r="EN2" s="26"/>
      <c r="EO2" s="26"/>
      <c r="EP2" s="26"/>
      <c r="EQ2" s="26"/>
      <c r="FF2" s="29"/>
      <c r="FG2" s="29"/>
      <c r="FI2" s="29"/>
      <c r="FJ2" s="29"/>
    </row>
    <row r="3" spans="2:211">
      <c r="B3" s="149"/>
      <c r="C3" s="150"/>
      <c r="D3" s="150"/>
      <c r="E3" s="150"/>
      <c r="F3" s="151"/>
      <c r="G3" s="102" t="s">
        <v>6</v>
      </c>
      <c r="H3" s="100"/>
      <c r="I3" s="100"/>
      <c r="J3" s="100"/>
      <c r="K3" s="100"/>
      <c r="L3" s="162"/>
      <c r="M3" s="163" t="s">
        <v>45</v>
      </c>
      <c r="N3" s="97"/>
      <c r="O3" s="97"/>
      <c r="P3" s="97"/>
      <c r="Q3" s="97"/>
      <c r="R3" s="97"/>
      <c r="S3" s="97"/>
      <c r="T3" s="97"/>
      <c r="U3" s="97"/>
      <c r="V3" s="97"/>
      <c r="W3" s="97"/>
      <c r="X3" s="97"/>
      <c r="Y3" s="97"/>
      <c r="Z3" s="97"/>
      <c r="AA3" s="97"/>
      <c r="AB3" s="97"/>
      <c r="AC3" s="97"/>
      <c r="AD3" s="97"/>
      <c r="AE3" s="164"/>
      <c r="AF3" s="96"/>
      <c r="AG3" s="97"/>
      <c r="AH3" s="97"/>
      <c r="AI3" s="97"/>
      <c r="AJ3" s="98"/>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I3" s="53" t="s">
        <v>49</v>
      </c>
      <c r="CJ3" s="49">
        <v>0.9</v>
      </c>
      <c r="DR3" s="1"/>
      <c r="EG3" s="26" t="s">
        <v>36</v>
      </c>
      <c r="EH3" s="26" t="s">
        <v>16</v>
      </c>
      <c r="EI3" s="26" t="s">
        <v>37</v>
      </c>
      <c r="EJ3" s="26"/>
      <c r="EK3" s="26"/>
      <c r="EL3" s="26"/>
      <c r="EM3" s="26"/>
      <c r="EN3" s="26"/>
      <c r="EO3" s="26"/>
      <c r="EP3" s="26"/>
      <c r="EQ3" s="26"/>
      <c r="EU3" s="29"/>
      <c r="EV3" s="29"/>
      <c r="EW3" s="29"/>
      <c r="EX3" s="29"/>
      <c r="EY3" s="29"/>
      <c r="EZ3" s="50" t="s">
        <v>63</v>
      </c>
      <c r="FA3" s="29" t="s">
        <v>43</v>
      </c>
      <c r="FB3" s="29" t="s">
        <v>44</v>
      </c>
      <c r="FC3" s="29"/>
      <c r="FD3" s="29" t="s">
        <v>132</v>
      </c>
      <c r="FE3" s="1"/>
      <c r="FF3" s="29"/>
      <c r="FG3" s="29" t="s">
        <v>131</v>
      </c>
      <c r="FH3" s="29" t="s">
        <v>43</v>
      </c>
      <c r="FI3" s="29" t="s">
        <v>44</v>
      </c>
      <c r="FJ3" s="29"/>
      <c r="FK3" t="s">
        <v>133</v>
      </c>
      <c r="FL3" t="s">
        <v>43</v>
      </c>
      <c r="FM3" t="s">
        <v>44</v>
      </c>
      <c r="FO3" s="29" t="s">
        <v>134</v>
      </c>
      <c r="FP3" s="29" t="s">
        <v>43</v>
      </c>
      <c r="FQ3" s="29" t="s">
        <v>44</v>
      </c>
      <c r="FS3" s="29" t="s">
        <v>135</v>
      </c>
      <c r="FT3" s="29" t="s">
        <v>43</v>
      </c>
      <c r="FU3" s="29" t="s">
        <v>44</v>
      </c>
      <c r="GE3" s="52" t="s">
        <v>63</v>
      </c>
      <c r="GF3" s="51" t="s">
        <v>43</v>
      </c>
      <c r="GG3" s="51" t="s">
        <v>44</v>
      </c>
      <c r="GI3" s="51" t="s">
        <v>132</v>
      </c>
      <c r="GJ3" s="65"/>
      <c r="GL3" s="51" t="s">
        <v>131</v>
      </c>
      <c r="GM3" s="51" t="s">
        <v>43</v>
      </c>
      <c r="GN3" s="51" t="s">
        <v>44</v>
      </c>
      <c r="GP3" s="51" t="s">
        <v>133</v>
      </c>
      <c r="GQ3" s="51" t="s">
        <v>43</v>
      </c>
      <c r="GR3" s="51" t="s">
        <v>44</v>
      </c>
      <c r="GT3" s="51" t="s">
        <v>134</v>
      </c>
      <c r="GU3" s="51" t="s">
        <v>43</v>
      </c>
      <c r="GV3" s="51" t="s">
        <v>44</v>
      </c>
      <c r="GX3" s="51" t="s">
        <v>135</v>
      </c>
      <c r="GY3" s="51" t="s">
        <v>43</v>
      </c>
      <c r="GZ3" s="51" t="s">
        <v>44</v>
      </c>
    </row>
    <row r="4" spans="2:211">
      <c r="B4" s="149"/>
      <c r="C4" s="150"/>
      <c r="D4" s="150"/>
      <c r="E4" s="150"/>
      <c r="F4" s="151"/>
      <c r="G4" s="99"/>
      <c r="H4" s="100"/>
      <c r="I4" s="100"/>
      <c r="J4" s="100"/>
      <c r="K4" s="100"/>
      <c r="L4" s="100"/>
      <c r="M4" s="100"/>
      <c r="N4" s="100"/>
      <c r="O4" s="100"/>
      <c r="P4" s="100"/>
      <c r="Q4" s="100"/>
      <c r="R4" s="100"/>
      <c r="S4" s="100"/>
      <c r="T4" s="100"/>
      <c r="U4" s="100"/>
      <c r="V4" s="100"/>
      <c r="W4" s="100"/>
      <c r="X4" s="100"/>
      <c r="Y4" s="100"/>
      <c r="Z4" s="100"/>
      <c r="AA4" s="100"/>
      <c r="AB4" s="100"/>
      <c r="AC4" s="100"/>
      <c r="AD4" s="100"/>
      <c r="AE4" s="101"/>
      <c r="AF4" s="102" t="s">
        <v>7</v>
      </c>
      <c r="AG4" s="103"/>
      <c r="AH4" s="103"/>
      <c r="AI4" s="103"/>
      <c r="AJ4" s="104"/>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29" t="s">
        <v>50</v>
      </c>
      <c r="CI4" s="53" t="s">
        <v>51</v>
      </c>
      <c r="CJ4" s="49">
        <v>89</v>
      </c>
      <c r="CK4" s="29" t="s">
        <v>52</v>
      </c>
      <c r="EG4" s="26"/>
      <c r="EH4" s="26"/>
      <c r="EI4" s="26">
        <v>5</v>
      </c>
      <c r="EJ4" s="26">
        <v>10</v>
      </c>
      <c r="EK4" s="26">
        <v>15</v>
      </c>
      <c r="EL4" s="26">
        <v>30</v>
      </c>
      <c r="EM4" s="26">
        <v>45</v>
      </c>
      <c r="EN4" s="26">
        <v>60</v>
      </c>
      <c r="EO4" s="26">
        <v>120</v>
      </c>
      <c r="EP4" s="26">
        <v>240</v>
      </c>
      <c r="EQ4" s="26">
        <v>480</v>
      </c>
      <c r="EU4" s="50" t="s">
        <v>55</v>
      </c>
      <c r="EV4" s="50"/>
      <c r="EW4" s="50" t="s">
        <v>59</v>
      </c>
      <c r="EX4" s="50"/>
      <c r="EY4" s="29"/>
      <c r="EZ4" s="29"/>
      <c r="FA4" s="29">
        <f>FB4*0.75</f>
        <v>0.62324999999999997</v>
      </c>
      <c r="FB4" s="29">
        <f>CJ11</f>
        <v>0.83099999999999996</v>
      </c>
      <c r="FC4" s="29"/>
      <c r="FD4" s="29">
        <f>FE4/1.5</f>
        <v>0.55399999999999994</v>
      </c>
      <c r="FE4" s="29">
        <f>CJ11</f>
        <v>0.83099999999999996</v>
      </c>
      <c r="FJ4" s="50"/>
      <c r="FZ4" s="52" t="s">
        <v>55</v>
      </c>
      <c r="GA4" s="52"/>
      <c r="GB4" s="52" t="s">
        <v>59</v>
      </c>
      <c r="GC4" s="52"/>
      <c r="GF4" s="51">
        <f>GG4*0.75</f>
        <v>0.62324999999999997</v>
      </c>
      <c r="GG4" s="51">
        <f>CL11</f>
        <v>0.83099999999999996</v>
      </c>
      <c r="GI4" s="51">
        <f>GJ4/1.5</f>
        <v>0.55399999999999994</v>
      </c>
      <c r="GJ4" s="51">
        <f>CL11</f>
        <v>0.83099999999999996</v>
      </c>
      <c r="GO4" s="52"/>
    </row>
    <row r="5" spans="2:211" ht="15.75" thickBot="1">
      <c r="B5" s="152"/>
      <c r="C5" s="153"/>
      <c r="D5" s="153"/>
      <c r="E5" s="153"/>
      <c r="F5" s="154"/>
      <c r="G5" s="105" t="s">
        <v>8</v>
      </c>
      <c r="H5" s="106"/>
      <c r="I5" s="106"/>
      <c r="J5" s="106"/>
      <c r="K5" s="106"/>
      <c r="L5" s="107"/>
      <c r="M5" s="108">
        <v>1</v>
      </c>
      <c r="N5" s="109"/>
      <c r="O5" s="109"/>
      <c r="P5" s="109"/>
      <c r="Q5" s="109"/>
      <c r="R5" s="109"/>
      <c r="S5" s="110"/>
      <c r="T5" s="111" t="s">
        <v>9</v>
      </c>
      <c r="U5" s="105"/>
      <c r="V5" s="105"/>
      <c r="W5" s="105"/>
      <c r="X5" s="105"/>
      <c r="Y5" s="112"/>
      <c r="Z5" s="113"/>
      <c r="AA5" s="114"/>
      <c r="AB5" s="114"/>
      <c r="AC5" s="114"/>
      <c r="AD5" s="114"/>
      <c r="AE5" s="115"/>
      <c r="AF5" s="116"/>
      <c r="AG5" s="114"/>
      <c r="AH5" s="114"/>
      <c r="AI5" s="114"/>
      <c r="AJ5" s="117"/>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29" t="s">
        <v>53</v>
      </c>
      <c r="CI5" s="53" t="s">
        <v>54</v>
      </c>
      <c r="CJ5" s="49">
        <v>0</v>
      </c>
      <c r="CK5" s="29" t="s">
        <v>0</v>
      </c>
      <c r="CM5" s="29" t="s">
        <v>55</v>
      </c>
      <c r="CN5" s="29" t="s">
        <v>56</v>
      </c>
      <c r="CO5" s="29" t="s">
        <v>57</v>
      </c>
      <c r="CQ5" s="50" t="s">
        <v>55</v>
      </c>
      <c r="CR5" s="50" t="s">
        <v>58</v>
      </c>
      <c r="CS5" s="50" t="s">
        <v>59</v>
      </c>
      <c r="CT5" s="50" t="s">
        <v>60</v>
      </c>
      <c r="CU5" s="50" t="s">
        <v>61</v>
      </c>
      <c r="CV5" s="50" t="s">
        <v>62</v>
      </c>
      <c r="CW5" s="50" t="s">
        <v>63</v>
      </c>
      <c r="CX5" s="50" t="s">
        <v>64</v>
      </c>
      <c r="CY5" s="50" t="s">
        <v>114</v>
      </c>
      <c r="CZ5" s="50"/>
      <c r="DA5" s="50"/>
      <c r="DN5" s="50"/>
      <c r="DO5" s="50"/>
      <c r="DS5" s="50"/>
      <c r="DY5" s="50"/>
      <c r="EC5" s="50"/>
      <c r="ED5" s="50"/>
      <c r="EE5" s="50"/>
      <c r="EF5" s="50"/>
      <c r="EG5" s="26" t="s">
        <v>38</v>
      </c>
      <c r="EH5" s="26">
        <v>1</v>
      </c>
      <c r="EI5" s="26">
        <v>55.5</v>
      </c>
      <c r="EJ5" s="26">
        <v>38.799999999999997</v>
      </c>
      <c r="EK5" s="26">
        <v>30.7</v>
      </c>
      <c r="EL5" s="26">
        <v>20</v>
      </c>
      <c r="EM5" s="26">
        <v>15.3</v>
      </c>
      <c r="EN5" s="26">
        <v>12.7</v>
      </c>
      <c r="EO5" s="26">
        <v>7.9</v>
      </c>
      <c r="EP5" s="26">
        <v>4.8</v>
      </c>
      <c r="EQ5" s="26">
        <v>3</v>
      </c>
      <c r="EU5" s="29">
        <f>$P$65/2000</f>
        <v>0.3</v>
      </c>
      <c r="EV5" s="29">
        <v>0</v>
      </c>
      <c r="EW5" s="29">
        <f>EX6*2</f>
        <v>0.41549999999999998</v>
      </c>
      <c r="EX5" s="29">
        <f>CJ11*0.75</f>
        <v>0.62324999999999997</v>
      </c>
      <c r="EY5" s="29"/>
      <c r="EZ5" s="29">
        <v>0</v>
      </c>
      <c r="FA5" s="50">
        <f>(FA$4*COS(EZ5*PI()/180)+$FA$4)/2</f>
        <v>0.62324999999999997</v>
      </c>
      <c r="FB5" s="50">
        <f>(FB$4*SIN(EZ5*PI()/180)+$CJ$11)/2</f>
        <v>0.41549999999999998</v>
      </c>
      <c r="FC5" s="29">
        <v>0</v>
      </c>
      <c r="FD5" s="50">
        <f>(FD$4*COS(FC5*PI()/180)+$FD$4)/2</f>
        <v>0.55399999999999994</v>
      </c>
      <c r="FE5" s="50">
        <f>(FE$4*SIN(FC5*PI()/180)+$CJ$11)/2</f>
        <v>0.41549999999999998</v>
      </c>
      <c r="FF5" s="29">
        <v>1</v>
      </c>
      <c r="FG5" s="29">
        <f t="shared" ref="FG5:FG68" si="0">FF5%*2*PI()</f>
        <v>6.2831853071795868E-2</v>
      </c>
      <c r="FH5" s="29">
        <f>($P$65/2000)*SIN(FG5)+($P$65/2000)</f>
        <v>0.31883715585879402</v>
      </c>
      <c r="FI5" s="29">
        <f>($P$65/2000)*COS(FG5)+$P$65/2000</f>
        <v>0.59940801852848147</v>
      </c>
      <c r="FJ5" s="50"/>
      <c r="FL5">
        <f>IF($P$64="Hexagon",EU5,IF(OR($P$64="Kerbdrain150",$P$64="Kerbdrain280"),FA5,IF(OR($P$64="Channel100",$P$64="Channel150",$P$64="Channel200",$P$64="Channel430"),EW5,IF(AND($P$64="Oval",$CJ$11=0.15),FH5,IF(AND($P$64="Oval",$CJ$11=0.225),FH5,IF(AND($P$64="Oval",$CJ$11=0.35),FH5,IF(AND($P$64="Oval",$CJ$11=0.55),FH5,IF(AND($P$64="Oval",$CJ$11=0.7),FD5,IF(AND($P$64="Oval",$CJ$11=0.9),FD5,"")))))))))</f>
        <v>0.3</v>
      </c>
      <c r="FM5" s="29">
        <f>IF($P$64="Hexagon",EV5,IF(OR($P$64="Kerbdrain150",$P$64="Kerbdrain280"),FB5,IF(OR($P$64="Channel100",$P$64="Channel150",$P$64="Channel200",$P$64="Channel430"),EX5,IF(AND($P$64="Oval",$CJ$11=0.15),FI5,IF(AND($P$64="Oval",$CJ$11=0.225),FI5,IF(AND($P$64="Oval",$CJ$11=0.35),FI5,IF(AND($P$64="Oval",$CJ$11=0.55),FI5,IF(AND($P$64="Oval",$CJ$11=0.7),FE5,IF(AND($P$64="Oval",$CJ$11=0.9),FE5,"")))))))))</f>
        <v>0</v>
      </c>
      <c r="FP5">
        <f>IF(MAX(FL$5:FM$104)&lt;0.5,FL5*2,FL5)</f>
        <v>0.3</v>
      </c>
      <c r="FQ5" s="29">
        <f>IF(MAX(FL$5:FM$104)&lt;0.5,FM5*2,FM5)</f>
        <v>0</v>
      </c>
      <c r="FT5" s="29">
        <f>FP5+(0.5*(1-MAX(FP$5:FP$104)))</f>
        <v>0.5</v>
      </c>
      <c r="FU5" s="29">
        <f>FQ5+(0.5*(1-MAX(FQ$5:FQ$104)))</f>
        <v>8.450000000000002E-2</v>
      </c>
      <c r="FW5">
        <f>MIN(FT5:FT104)</f>
        <v>0.2</v>
      </c>
      <c r="FX5">
        <v>-0.1</v>
      </c>
      <c r="FZ5" s="51">
        <f>$M$117/2000</f>
        <v>0.3</v>
      </c>
      <c r="GA5" s="51">
        <v>0</v>
      </c>
      <c r="GB5" s="51">
        <f>GC6*2</f>
        <v>0.41549999999999998</v>
      </c>
      <c r="GC5" s="51">
        <f>CL11*0.75</f>
        <v>0.62324999999999997</v>
      </c>
      <c r="GE5" s="51">
        <v>0</v>
      </c>
      <c r="GF5" s="52">
        <f>(GF$4*COS(GE5*PI()/180)+$GF$4)/2</f>
        <v>0.62324999999999997</v>
      </c>
      <c r="GG5" s="52">
        <f>(GG$4*SIN(GE5*PI()/180)+$CL$11)/2</f>
        <v>0.41549999999999998</v>
      </c>
      <c r="GH5" s="51">
        <v>0</v>
      </c>
      <c r="GI5" s="52">
        <f>(GI$4*COS(GH5*PI()/180)+$GI$4)/2</f>
        <v>0.55399999999999994</v>
      </c>
      <c r="GJ5" s="52">
        <f>(GJ$4*SIN(GH5*PI()/180)+$CL$11)/2</f>
        <v>0.41549999999999998</v>
      </c>
      <c r="GK5" s="51">
        <v>1</v>
      </c>
      <c r="GL5" s="51">
        <f>GK5%*2*PI()</f>
        <v>6.2831853071795868E-2</v>
      </c>
      <c r="GM5" s="51">
        <f>($M$117/2000)*SIN(GL5)+($M$117/2000)</f>
        <v>0.31883715585879402</v>
      </c>
      <c r="GN5" s="51">
        <f>($M$117/2000)*COS(GL5)+$M$117/2000</f>
        <v>0.59940801852848147</v>
      </c>
      <c r="GO5" s="52"/>
      <c r="GQ5" s="51">
        <f>IF($M$116="Hexagon",FZ5,IF(OR($M$116="Kerbdrain150",$M$116="Kerbdrain280"),GF5,IF(OR($M$116="Channel100",$M$116="Channel150",$M$116="Channel200",$M$116="Channel430"),GB5,IF(AND($M$116="Oval",$CL$11=0.15),GM5,IF(AND($M$116="Oval",$CL$11=0.225),GM5,IF(AND($M$116="Oval",$CL$11=0.35),GM5,IF(AND($M$116="Oval",$CL$11=0.55),GM5,IF(AND($M$116="Oval",$CL$11=0.7),GI5,IF(AND($M$116="Oval",$CL$11=0.9),GI5,"")))))))))</f>
        <v>0.3</v>
      </c>
      <c r="GR5" s="51">
        <f>IF($M$116="Hexagon",GA5,IF(OR($M$116="Kerbdrain150",$M$116="Kerbdrain280"),GG5,IF(OR($M$116="Channel100",$M$116="Channel150",$M$116="Channel200",$M$116="Channel430"),GC5,IF(AND($M$116="Oval",$CL$11=0.15),GN5,IF(AND($M$116="Oval",$CL$11=0.225),GN5,IF(AND($M$116="Oval",$CL$11=0.35),GN5,IF(AND($M$116="Oval",$CL$11=0.55),GN5,IF(AND($M$116="Oval",$CL$11=0.7),GJ5,IF(AND($M$116="Oval",$CL$11=0.9),GJ5,"")))))))))</f>
        <v>0</v>
      </c>
      <c r="GU5" s="51">
        <f>IF(MAX(GQ$5:GR$104)&lt;0.5,GQ5*2,GQ5)</f>
        <v>0.3</v>
      </c>
      <c r="GV5" s="51">
        <f>IF(MAX(GQ$5:GR$104)&lt;0.5,GR5*2,GR5)</f>
        <v>0</v>
      </c>
      <c r="GY5" s="51">
        <f>GU5+(0.5*(1-MAX(GU$5:GU$104)))</f>
        <v>0.5</v>
      </c>
      <c r="GZ5" s="51">
        <f>GV5+(0.5*(1-MAX(GV$5:GV$104)))</f>
        <v>8.450000000000002E-2</v>
      </c>
      <c r="HB5" s="51">
        <f>MIN(GY5:GY104)</f>
        <v>0.2</v>
      </c>
      <c r="HC5" s="51">
        <v>-0.1</v>
      </c>
    </row>
    <row r="6" spans="2:211" ht="15.75" thickBot="1">
      <c r="B6" s="2"/>
      <c r="C6" s="3"/>
      <c r="D6" s="3"/>
      <c r="E6" s="3"/>
      <c r="F6" s="4"/>
      <c r="G6" s="5"/>
      <c r="H6" s="24"/>
      <c r="I6" s="24"/>
      <c r="J6" s="24"/>
      <c r="K6" s="24"/>
      <c r="L6" s="24"/>
      <c r="M6" s="24"/>
      <c r="N6" s="24"/>
      <c r="O6" s="24"/>
      <c r="P6" s="24"/>
      <c r="Q6" s="24"/>
      <c r="R6" s="24"/>
      <c r="S6" s="24"/>
      <c r="T6" s="24"/>
      <c r="U6" s="24"/>
      <c r="V6" s="24"/>
      <c r="W6" s="24"/>
      <c r="X6" s="24"/>
      <c r="Y6" s="24"/>
      <c r="Z6" s="24"/>
      <c r="AA6" s="24"/>
      <c r="AB6" s="24"/>
      <c r="AC6" s="24"/>
      <c r="AD6" s="24"/>
      <c r="AE6" s="6"/>
      <c r="AF6" s="7"/>
      <c r="AG6" s="3"/>
      <c r="AH6" s="3"/>
      <c r="AI6" s="3"/>
      <c r="AJ6" s="8"/>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29" t="s">
        <v>65</v>
      </c>
      <c r="CI6" s="53" t="s">
        <v>66</v>
      </c>
      <c r="CJ6" s="49">
        <v>100</v>
      </c>
      <c r="CK6" s="29" t="s">
        <v>1</v>
      </c>
      <c r="CM6" s="29">
        <v>150</v>
      </c>
      <c r="CN6" s="29">
        <v>0.16600000000000001</v>
      </c>
      <c r="CO6" s="29">
        <v>1.9372E-2</v>
      </c>
      <c r="CQ6" s="50">
        <v>150</v>
      </c>
      <c r="CR6" s="50">
        <v>150</v>
      </c>
      <c r="CS6" s="50">
        <v>130</v>
      </c>
      <c r="CT6" s="50">
        <v>180</v>
      </c>
      <c r="CU6" s="50">
        <v>240</v>
      </c>
      <c r="CV6" s="50">
        <v>135</v>
      </c>
      <c r="CW6" s="50">
        <v>135</v>
      </c>
      <c r="CX6" s="50">
        <v>135</v>
      </c>
      <c r="DY6" s="50"/>
      <c r="ED6" s="25" t="s">
        <v>20</v>
      </c>
      <c r="EE6" s="25" t="s">
        <v>21</v>
      </c>
      <c r="EG6" s="26">
        <v>20</v>
      </c>
      <c r="EH6" s="26">
        <v>2</v>
      </c>
      <c r="EI6" s="26">
        <v>69</v>
      </c>
      <c r="EJ6" s="26">
        <v>49.8</v>
      </c>
      <c r="EK6" s="26">
        <v>39.700000000000003</v>
      </c>
      <c r="EL6" s="26">
        <v>25.8</v>
      </c>
      <c r="EM6" s="26">
        <v>19.600000000000001</v>
      </c>
      <c r="EN6" s="26">
        <v>16.100000000000001</v>
      </c>
      <c r="EO6" s="26">
        <v>9.8000000000000007</v>
      </c>
      <c r="EP6" s="26">
        <v>5.9</v>
      </c>
      <c r="EQ6" s="26">
        <v>4</v>
      </c>
      <c r="EU6" s="29">
        <f>$P$65/1000</f>
        <v>0.6</v>
      </c>
      <c r="EV6" s="29">
        <f>$CJ$11/3</f>
        <v>0.27699999999999997</v>
      </c>
      <c r="EW6" s="29">
        <f>EX7*2</f>
        <v>0.41549999999999998</v>
      </c>
      <c r="EX6" s="29">
        <f>CJ11-EX5</f>
        <v>0.20774999999999999</v>
      </c>
      <c r="EY6" s="29"/>
      <c r="EZ6" s="29">
        <v>15</v>
      </c>
      <c r="FA6" s="50">
        <f t="shared" ref="FA6:FA29" si="1">(FA$4*COS(EZ6*PI()/180)+$FA$4)/2</f>
        <v>0.61263163561733092</v>
      </c>
      <c r="FB6" s="50">
        <f t="shared" ref="FB6:FB29" si="2">(FB$4*SIN(EZ6*PI()/180)+$CJ$11)/2</f>
        <v>0.52303931324009734</v>
      </c>
      <c r="FC6" s="29">
        <v>15</v>
      </c>
      <c r="FD6" s="50">
        <f t="shared" ref="FD6:FD29" si="3">(FD$4*COS(FC6*PI()/180)+$FD$4)/2</f>
        <v>0.54456145388207178</v>
      </c>
      <c r="FE6" s="50">
        <f t="shared" ref="FE6:FE29" si="4">(FE$4*SIN(FC6*PI()/180)+$CJ$11)/2</f>
        <v>0.52303931324009734</v>
      </c>
      <c r="FF6" s="29">
        <v>2</v>
      </c>
      <c r="FG6" s="29">
        <f t="shared" si="0"/>
        <v>0.12566370614359174</v>
      </c>
      <c r="FH6" s="29">
        <f t="shared" ref="FH6:FH69" si="5">($P$65/2000)*SIN(FG6)+($P$65/2000)</f>
        <v>0.33759997006929127</v>
      </c>
      <c r="FI6" s="29">
        <f t="shared" ref="FI6:FI69" si="6">($P$65/2000)*COS(FG6)+$P$65/2000</f>
        <v>0.5976344103943434</v>
      </c>
      <c r="FJ6" s="50"/>
      <c r="FL6" s="29">
        <f t="shared" ref="FL6:FL69" si="7">IF($P$64="Hexagon",EU6,IF(OR($P$64="Kerbdrain150",$P$64="Kerbdrain280"),FA6,IF(OR($P$64="Channel100",$P$64="Channel150",$P$64="Channel200",$P$64="Channel430"),EW6,IF(AND($P$64="Oval",$CJ$11=0.15),FH6,IF(AND($P$64="Oval",$CJ$11=0.225),FH6,IF(AND($P$64="Oval",$CJ$11=0.35),FH6,IF(AND($P$64="Oval",$CJ$11=0.55),FH6,IF(AND($P$64="Oval",$CJ$11=0.7),FD6,IF(AND($P$64="Oval",$CJ$11=0.9),FD6,"")))))))))</f>
        <v>0.6</v>
      </c>
      <c r="FM6" s="29">
        <f t="shared" ref="FM6:FM69" si="8">IF($P$64="Hexagon",EV6,IF(OR($P$64="Kerbdrain150",$P$64="Kerbdrain280"),FB6,IF(OR($P$64="Channel100",$P$64="Channel150",$P$64="Channel200",$P$64="Channel430"),EX6,IF(AND($P$64="Oval",$CJ$11=0.15),FI6,IF(AND($P$64="Oval",$CJ$11=0.225),FI6,IF(AND($P$64="Oval",$CJ$11=0.35),FI6,IF(AND($P$64="Oval",$CJ$11=0.55),FI6,IF(AND($P$64="Oval",$CJ$11=0.7),FE6,IF(AND($P$64="Oval",$CJ$11=0.9),FE6,"")))))))))</f>
        <v>0.27699999999999997</v>
      </c>
      <c r="FP6" s="29">
        <f t="shared" ref="FP6:FP69" si="9">IF(MAX(FL$5:FM$104)&lt;0.5,FL6*2,FL6)</f>
        <v>0.6</v>
      </c>
      <c r="FQ6" s="29">
        <f t="shared" ref="FQ6:FQ69" si="10">IF(MAX(FL$5:FM$104)&lt;0.5,FM6*2,FM6)</f>
        <v>0.27699999999999997</v>
      </c>
      <c r="FT6" s="29">
        <f>IF(AND(FP6=0,FQ6=0),FT5,FP6+(0.5*(1-MAX(FP$5:FP$104))))</f>
        <v>0.8</v>
      </c>
      <c r="FU6" s="29">
        <f>IF(AND(FP6=0,FQ6=0),FU5,FQ6+(0.5*(1-MAX(FQ$5:FQ$104))))</f>
        <v>0.36149999999999999</v>
      </c>
      <c r="FW6" s="29">
        <f>MAX(FT5:FT104)</f>
        <v>0.8</v>
      </c>
      <c r="FX6" s="29">
        <v>-0.1</v>
      </c>
      <c r="FZ6" s="51">
        <f>$M$117/1000</f>
        <v>0.6</v>
      </c>
      <c r="GA6" s="51">
        <f>$CL$11/3</f>
        <v>0.27699999999999997</v>
      </c>
      <c r="GB6" s="51">
        <f>GC7*2</f>
        <v>0.41549999999999998</v>
      </c>
      <c r="GC6" s="51">
        <f>CL11-GC5</f>
        <v>0.20774999999999999</v>
      </c>
      <c r="GE6" s="51">
        <v>15</v>
      </c>
      <c r="GF6" s="52">
        <f t="shared" ref="GF6:GF29" si="11">(GF$4*COS(GE6*PI()/180)+$GF$4)/2</f>
        <v>0.61263163561733092</v>
      </c>
      <c r="GG6" s="52">
        <f t="shared" ref="GG6:GG29" si="12">(GG$4*SIN(GE6*PI()/180)+$CL$11)/2</f>
        <v>0.52303931324009734</v>
      </c>
      <c r="GH6" s="51">
        <v>15</v>
      </c>
      <c r="GI6" s="52">
        <f t="shared" ref="GI6:GI29" si="13">(GI$4*COS(GH6*PI()/180)+$GI$4)/2</f>
        <v>0.54456145388207178</v>
      </c>
      <c r="GJ6" s="52">
        <f t="shared" ref="GJ6:GJ29" si="14">(GJ$4*SIN(GH6*PI()/180)+$CL$11)/2</f>
        <v>0.52303931324009734</v>
      </c>
      <c r="GK6" s="51">
        <v>2</v>
      </c>
      <c r="GL6" s="51">
        <f t="shared" ref="GL6:GL68" si="15">GK6%*2*PI()</f>
        <v>0.12566370614359174</v>
      </c>
      <c r="GM6" s="51">
        <f t="shared" ref="GM6:GM69" si="16">($M$117/2000)*SIN(GL6)+($M$117/2000)</f>
        <v>0.33759997006929127</v>
      </c>
      <c r="GN6" s="51">
        <f t="shared" ref="GN6:GN69" si="17">($M$117/2000)*COS(GL6)+$M$117/2000</f>
        <v>0.5976344103943434</v>
      </c>
      <c r="GO6" s="52"/>
      <c r="GQ6" s="51">
        <f t="shared" ref="GQ6:GQ69" si="18">IF($M$116="Hexagon",FZ6,IF(OR($M$116="Kerbdrain150",$M$116="Kerbdrain280"),GF6,IF(OR($M$116="Channel100",$M$116="Channel150",$M$116="Channel200",$M$116="Channel430"),GB6,IF(AND($M$116="Oval",$CL$11=0.15),GM6,IF(AND($M$116="Oval",$CL$11=0.225),GM6,IF(AND($M$116="Oval",$CL$11=0.35),GM6,IF(AND($M$116="Oval",$CL$11=0.55),GM6,IF(AND($M$116="Oval",$CL$11=0.7),GI6,IF(AND($M$116="Oval",$CL$11=0.9),GI6,"")))))))))</f>
        <v>0.6</v>
      </c>
      <c r="GR6" s="51">
        <f t="shared" ref="GR6:GR69" si="19">IF($M$116="Hexagon",GA6,IF(OR($M$116="Kerbdrain150",$M$116="Kerbdrain280"),GG6,IF(OR($M$116="Channel100",$M$116="Channel150",$M$116="Channel200",$M$116="Channel430"),GC6,IF(AND($M$116="Oval",$CL$11=0.15),GN6,IF(AND($M$116="Oval",$CL$11=0.225),GN6,IF(AND($M$116="Oval",$CL$11=0.35),GN6,IF(AND($M$116="Oval",$CL$11=0.55),GN6,IF(AND($M$116="Oval",$CL$11=0.7),GJ6,IF(AND($M$116="Oval",$CL$11=0.9),GJ6,"")))))))))</f>
        <v>0.27699999999999997</v>
      </c>
      <c r="GU6" s="51">
        <f t="shared" ref="GU6:GU69" si="20">IF(MAX(GQ$5:GR$104)&lt;0.5,GQ6*2,GQ6)</f>
        <v>0.6</v>
      </c>
      <c r="GV6" s="51">
        <f t="shared" ref="GV6:GV69" si="21">IF(MAX(GQ$5:GR$104)&lt;0.5,GR6*2,GR6)</f>
        <v>0.27699999999999997</v>
      </c>
      <c r="GY6" s="51">
        <f>IF(AND(GU6=0,GV6=0),GY5,GU6+(0.5*(1-MAX(GU$5:GU$104))))</f>
        <v>0.8</v>
      </c>
      <c r="GZ6" s="51">
        <f>IF(AND(GU6=0,GV6=0),GZ5,GV6+(0.5*(1-MAX(GV$5:GV$104))))</f>
        <v>0.36149999999999999</v>
      </c>
      <c r="HB6" s="51">
        <f>MAX(GY5:GY104)</f>
        <v>0.8</v>
      </c>
      <c r="HC6" s="51">
        <v>-0.1</v>
      </c>
    </row>
    <row r="7" spans="2:211" ht="15.75" thickBot="1">
      <c r="B7" s="9"/>
      <c r="C7" s="10"/>
      <c r="D7" s="10"/>
      <c r="E7" s="10"/>
      <c r="F7" s="11"/>
      <c r="G7" s="23"/>
      <c r="H7" s="90" t="s">
        <v>11</v>
      </c>
      <c r="I7" s="176"/>
      <c r="J7" s="176"/>
      <c r="K7" s="176"/>
      <c r="L7" s="176"/>
      <c r="M7" s="176"/>
      <c r="N7" s="176"/>
      <c r="O7" s="176"/>
      <c r="P7" s="176"/>
      <c r="Q7" s="176"/>
      <c r="R7" s="176"/>
      <c r="S7" s="176"/>
      <c r="T7" s="176"/>
      <c r="U7" s="176"/>
      <c r="V7" s="176"/>
      <c r="W7" s="176"/>
      <c r="X7" s="176"/>
      <c r="Y7" s="176"/>
      <c r="Z7" s="176"/>
      <c r="AA7" s="176"/>
      <c r="AB7" s="176"/>
      <c r="AC7" s="176"/>
      <c r="AD7" s="177"/>
      <c r="AE7" s="23"/>
      <c r="AF7" s="14"/>
      <c r="AG7" s="10"/>
      <c r="AH7" s="10"/>
      <c r="AI7" s="10"/>
      <c r="AJ7" s="15"/>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29" t="s">
        <v>67</v>
      </c>
      <c r="CI7" s="53" t="s">
        <v>68</v>
      </c>
      <c r="CJ7" s="51">
        <f>IF(CJ5&lt;=0.5,0.132*(CJ5/100)-0.00022,0.00044)</f>
        <v>-2.2000000000000001E-4</v>
      </c>
      <c r="CM7" s="29">
        <v>225</v>
      </c>
      <c r="CN7" s="29">
        <v>0.252</v>
      </c>
      <c r="CO7" s="29">
        <v>4.3763000000000003E-2</v>
      </c>
      <c r="CQ7" s="50">
        <v>225</v>
      </c>
      <c r="CR7" s="50">
        <v>225</v>
      </c>
      <c r="CS7" s="50">
        <v>180</v>
      </c>
      <c r="CT7" s="50">
        <v>230</v>
      </c>
      <c r="CU7" s="50">
        <v>265</v>
      </c>
      <c r="CV7" s="50">
        <v>205</v>
      </c>
      <c r="CW7" s="50">
        <v>185</v>
      </c>
      <c r="CX7" s="50">
        <v>205</v>
      </c>
      <c r="DY7" s="50"/>
      <c r="ED7" s="25" t="s">
        <v>22</v>
      </c>
      <c r="EE7" s="25" t="s">
        <v>23</v>
      </c>
      <c r="EG7" s="26" t="s">
        <v>39</v>
      </c>
      <c r="EH7" s="26">
        <v>5</v>
      </c>
      <c r="EI7" s="26">
        <v>90.9</v>
      </c>
      <c r="EJ7" s="26">
        <v>65</v>
      </c>
      <c r="EK7" s="26">
        <v>51.6</v>
      </c>
      <c r="EL7" s="26">
        <v>33.200000000000003</v>
      </c>
      <c r="EM7" s="26">
        <v>25.1</v>
      </c>
      <c r="EN7" s="26">
        <v>20.5</v>
      </c>
      <c r="EO7" s="26">
        <v>12.4</v>
      </c>
      <c r="EP7" s="26">
        <v>7.4</v>
      </c>
      <c r="EQ7" s="26">
        <v>4</v>
      </c>
      <c r="EU7" s="29">
        <f>EU6</f>
        <v>0.6</v>
      </c>
      <c r="EV7" s="29">
        <f>EV6*2</f>
        <v>0.55399999999999994</v>
      </c>
      <c r="EW7" s="29">
        <f t="shared" ref="EW7:EW38" si="22">($EX$6)*SIN(FG29)+($EX$6)</f>
        <v>0.41549999999999998</v>
      </c>
      <c r="EX7" s="29">
        <f t="shared" ref="EX7:EX38" si="23">($EX$6)*COS(FG29)+$EX$6</f>
        <v>0.20774999999999999</v>
      </c>
      <c r="EY7" s="29"/>
      <c r="EZ7" s="29">
        <v>30</v>
      </c>
      <c r="FA7" s="50">
        <f t="shared" si="1"/>
        <v>0.58150016645432567</v>
      </c>
      <c r="FB7" s="50">
        <f t="shared" si="2"/>
        <v>0.62324999999999997</v>
      </c>
      <c r="FC7" s="29">
        <v>30</v>
      </c>
      <c r="FD7" s="50">
        <f t="shared" si="3"/>
        <v>0.51688903684828946</v>
      </c>
      <c r="FE7" s="50">
        <f t="shared" si="4"/>
        <v>0.62324999999999997</v>
      </c>
      <c r="FF7" s="29">
        <v>3</v>
      </c>
      <c r="FG7" s="29">
        <f t="shared" si="0"/>
        <v>0.18849555921538758</v>
      </c>
      <c r="FH7" s="29">
        <f t="shared" si="5"/>
        <v>0.35621439437571734</v>
      </c>
      <c r="FI7" s="29">
        <f t="shared" si="6"/>
        <v>0.59468617521860656</v>
      </c>
      <c r="FJ7" s="50"/>
      <c r="FL7" s="29">
        <f t="shared" si="7"/>
        <v>0.6</v>
      </c>
      <c r="FM7" s="29">
        <f t="shared" si="8"/>
        <v>0.55399999999999994</v>
      </c>
      <c r="FP7" s="29">
        <f t="shared" si="9"/>
        <v>0.6</v>
      </c>
      <c r="FQ7" s="29">
        <f t="shared" si="10"/>
        <v>0.55399999999999994</v>
      </c>
      <c r="FT7" s="29">
        <f t="shared" ref="FT7:FT70" si="24">IF(AND(FP7=0,FQ7=0),FT6,FP7+(0.5*(1-MAX(FP$5:FP$104))))</f>
        <v>0.8</v>
      </c>
      <c r="FU7" s="29">
        <f t="shared" ref="FU7:FU70" si="25">IF(AND(FP7=0,FQ7=0),FU6,FQ7+(0.5*(1-MAX(FQ$5:FQ$104))))</f>
        <v>0.63849999999999996</v>
      </c>
      <c r="FZ7" s="51">
        <f>FZ6</f>
        <v>0.6</v>
      </c>
      <c r="GA7" s="51">
        <f>GA6*2</f>
        <v>0.55399999999999994</v>
      </c>
      <c r="GB7" s="51">
        <f>($GC$6)*SIN(GL29)+($GC$6)</f>
        <v>0.41549999999999998</v>
      </c>
      <c r="GC7" s="51">
        <f>($GC$6)*COS(GL29)+$GC$6</f>
        <v>0.20774999999999999</v>
      </c>
      <c r="GE7" s="51">
        <v>30</v>
      </c>
      <c r="GF7" s="52">
        <f t="shared" si="11"/>
        <v>0.58150016645432567</v>
      </c>
      <c r="GG7" s="52">
        <f t="shared" si="12"/>
        <v>0.62324999999999997</v>
      </c>
      <c r="GH7" s="51">
        <v>30</v>
      </c>
      <c r="GI7" s="52">
        <f t="shared" si="13"/>
        <v>0.51688903684828946</v>
      </c>
      <c r="GJ7" s="52">
        <f t="shared" si="14"/>
        <v>0.62324999999999997</v>
      </c>
      <c r="GK7" s="51">
        <v>3</v>
      </c>
      <c r="GL7" s="51">
        <f t="shared" si="15"/>
        <v>0.18849555921538758</v>
      </c>
      <c r="GM7" s="51">
        <f t="shared" si="16"/>
        <v>0.35621439437571734</v>
      </c>
      <c r="GN7" s="51">
        <f t="shared" si="17"/>
        <v>0.59468617521860656</v>
      </c>
      <c r="GO7" s="52"/>
      <c r="GQ7" s="51">
        <f t="shared" si="18"/>
        <v>0.6</v>
      </c>
      <c r="GR7" s="51">
        <f t="shared" si="19"/>
        <v>0.55399999999999994</v>
      </c>
      <c r="GU7" s="51">
        <f t="shared" si="20"/>
        <v>0.6</v>
      </c>
      <c r="GV7" s="51">
        <f t="shared" si="21"/>
        <v>0.55399999999999994</v>
      </c>
      <c r="GY7" s="51">
        <f t="shared" ref="GY7:GY70" si="26">IF(AND(GU7=0,GV7=0),GY6,GU7+(0.5*(1-MAX(GU$5:GU$104))))</f>
        <v>0.8</v>
      </c>
      <c r="GZ7" s="51">
        <f t="shared" ref="GZ7:GZ70" si="27">IF(AND(GU7=0,GV7=0),GZ6,GV7+(0.5*(1-MAX(GV$5:GV$104))))</f>
        <v>0.63849999999999996</v>
      </c>
    </row>
    <row r="8" spans="2:211" ht="15.75" thickBot="1">
      <c r="B8" s="9"/>
      <c r="C8" s="10"/>
      <c r="D8" s="10"/>
      <c r="E8" s="10"/>
      <c r="F8" s="11"/>
      <c r="G8" s="23"/>
      <c r="H8" s="183" t="s">
        <v>12</v>
      </c>
      <c r="I8" s="174"/>
      <c r="J8" s="174"/>
      <c r="K8" s="174"/>
      <c r="L8" s="174"/>
      <c r="M8" s="174"/>
      <c r="N8" s="174"/>
      <c r="O8" s="174"/>
      <c r="P8" s="174"/>
      <c r="Q8" s="174"/>
      <c r="R8" s="174"/>
      <c r="S8" s="174"/>
      <c r="T8" s="174"/>
      <c r="U8" s="174"/>
      <c r="V8" s="174"/>
      <c r="W8" s="174"/>
      <c r="X8" s="174"/>
      <c r="Y8" s="185">
        <v>20000</v>
      </c>
      <c r="Z8" s="186"/>
      <c r="AA8" s="187"/>
      <c r="AB8" s="179" t="s">
        <v>13</v>
      </c>
      <c r="AC8" s="174"/>
      <c r="AD8" s="175"/>
      <c r="AE8" s="23"/>
      <c r="AF8" s="14"/>
      <c r="AG8" s="10"/>
      <c r="AH8" s="10"/>
      <c r="AI8" s="10"/>
      <c r="AJ8" s="15"/>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M8" s="29">
        <v>300</v>
      </c>
      <c r="CN8" s="29">
        <v>0.33800000000000002</v>
      </c>
      <c r="CO8" s="29">
        <v>7.7676999999999996E-2</v>
      </c>
      <c r="CQ8" s="50">
        <v>300</v>
      </c>
      <c r="CR8" s="50">
        <v>350</v>
      </c>
      <c r="CS8" s="50">
        <v>230</v>
      </c>
      <c r="CT8" s="50">
        <v>280</v>
      </c>
      <c r="CU8" s="50">
        <v>290</v>
      </c>
      <c r="CV8" s="50">
        <v>275</v>
      </c>
      <c r="CW8" s="50">
        <v>235</v>
      </c>
      <c r="CX8" s="50">
        <v>275</v>
      </c>
      <c r="DY8" s="50"/>
      <c r="ED8" s="25" t="s">
        <v>24</v>
      </c>
      <c r="EE8" s="25" t="s">
        <v>25</v>
      </c>
      <c r="EG8" s="26">
        <v>0.4</v>
      </c>
      <c r="EH8" s="26">
        <v>10</v>
      </c>
      <c r="EI8" s="26">
        <v>104.2</v>
      </c>
      <c r="EJ8" s="26">
        <v>75.3</v>
      </c>
      <c r="EK8" s="26">
        <v>59.9</v>
      </c>
      <c r="EL8" s="26">
        <v>38.700000000000003</v>
      </c>
      <c r="EM8" s="26">
        <v>29.4</v>
      </c>
      <c r="EN8" s="26">
        <v>24</v>
      </c>
      <c r="EO8" s="26">
        <v>14.5</v>
      </c>
      <c r="EP8" s="26">
        <v>8.6</v>
      </c>
      <c r="EQ8" s="26">
        <v>5</v>
      </c>
      <c r="EU8" s="29">
        <f>EU5</f>
        <v>0.3</v>
      </c>
      <c r="EV8" s="29">
        <f>$CJ$11</f>
        <v>0.83099999999999996</v>
      </c>
      <c r="EW8" s="29">
        <f t="shared" si="22"/>
        <v>0.41509005283097339</v>
      </c>
      <c r="EX8" s="29">
        <f t="shared" si="23"/>
        <v>0.19470526956778514</v>
      </c>
      <c r="EY8" s="29"/>
      <c r="EZ8" s="29">
        <v>45</v>
      </c>
      <c r="FA8" s="50">
        <f t="shared" si="1"/>
        <v>0.53197715068725793</v>
      </c>
      <c r="FB8" s="50">
        <f t="shared" si="2"/>
        <v>0.70930286758301042</v>
      </c>
      <c r="FC8" s="29">
        <v>45</v>
      </c>
      <c r="FD8" s="50">
        <f t="shared" si="3"/>
        <v>0.47286857838867363</v>
      </c>
      <c r="FE8" s="50">
        <f t="shared" si="4"/>
        <v>0.70930286758301042</v>
      </c>
      <c r="FF8" s="29">
        <v>4</v>
      </c>
      <c r="FG8" s="29">
        <f t="shared" si="0"/>
        <v>0.25132741228718347</v>
      </c>
      <c r="FH8" s="29">
        <f t="shared" si="5"/>
        <v>0.37460696614945643</v>
      </c>
      <c r="FI8" s="29">
        <f t="shared" si="6"/>
        <v>0.59057494833858937</v>
      </c>
      <c r="FJ8" s="50"/>
      <c r="FL8" s="29">
        <f t="shared" si="7"/>
        <v>0.3</v>
      </c>
      <c r="FM8" s="29">
        <f t="shared" si="8"/>
        <v>0.83099999999999996</v>
      </c>
      <c r="FP8" s="29">
        <f t="shared" si="9"/>
        <v>0.3</v>
      </c>
      <c r="FQ8" s="29">
        <f t="shared" si="10"/>
        <v>0.83099999999999996</v>
      </c>
      <c r="FT8" s="29">
        <f t="shared" si="24"/>
        <v>0.5</v>
      </c>
      <c r="FU8" s="29">
        <f t="shared" si="25"/>
        <v>0.91549999999999998</v>
      </c>
      <c r="FW8" s="29">
        <v>-0.1</v>
      </c>
      <c r="FX8" s="29">
        <f>MIN(FU5:FU104)</f>
        <v>8.450000000000002E-2</v>
      </c>
      <c r="FZ8" s="51">
        <f>FZ5</f>
        <v>0.3</v>
      </c>
      <c r="GA8" s="51">
        <f>$CL$11</f>
        <v>0.83099999999999996</v>
      </c>
      <c r="GB8" s="51">
        <f t="shared" ref="GB8:GB57" si="28">($GC$6)*SIN(GL30)+($GC$6)</f>
        <v>0.41509005283097339</v>
      </c>
      <c r="GC8" s="51">
        <f t="shared" ref="GC8:GC57" si="29">($GC$6)*COS(GL30)+$GC$6</f>
        <v>0.19470526956778514</v>
      </c>
      <c r="GE8" s="51">
        <v>45</v>
      </c>
      <c r="GF8" s="52">
        <f t="shared" si="11"/>
        <v>0.53197715068725793</v>
      </c>
      <c r="GG8" s="52">
        <f t="shared" si="12"/>
        <v>0.70930286758301042</v>
      </c>
      <c r="GH8" s="51">
        <v>45</v>
      </c>
      <c r="GI8" s="52">
        <f t="shared" si="13"/>
        <v>0.47286857838867363</v>
      </c>
      <c r="GJ8" s="52">
        <f t="shared" si="14"/>
        <v>0.70930286758301042</v>
      </c>
      <c r="GK8" s="51">
        <v>4</v>
      </c>
      <c r="GL8" s="51">
        <f t="shared" si="15"/>
        <v>0.25132741228718347</v>
      </c>
      <c r="GM8" s="51">
        <f t="shared" si="16"/>
        <v>0.37460696614945643</v>
      </c>
      <c r="GN8" s="51">
        <f t="shared" si="17"/>
        <v>0.59057494833858937</v>
      </c>
      <c r="GO8" s="52"/>
      <c r="GQ8" s="51">
        <f t="shared" si="18"/>
        <v>0.3</v>
      </c>
      <c r="GR8" s="51">
        <f t="shared" si="19"/>
        <v>0.83099999999999996</v>
      </c>
      <c r="GU8" s="51">
        <f t="shared" si="20"/>
        <v>0.3</v>
      </c>
      <c r="GV8" s="51">
        <f t="shared" si="21"/>
        <v>0.83099999999999996</v>
      </c>
      <c r="GY8" s="51">
        <f t="shared" si="26"/>
        <v>0.5</v>
      </c>
      <c r="GZ8" s="51">
        <f t="shared" si="27"/>
        <v>0.91549999999999998</v>
      </c>
      <c r="HB8" s="51">
        <v>-0.1</v>
      </c>
      <c r="HC8" s="51">
        <f>MIN(GZ5:GZ104)</f>
        <v>8.450000000000002E-2</v>
      </c>
    </row>
    <row r="9" spans="2:211" ht="15.75" thickBot="1">
      <c r="B9" s="9"/>
      <c r="C9" s="10"/>
      <c r="D9" s="10"/>
      <c r="E9" s="10"/>
      <c r="F9" s="11"/>
      <c r="G9" s="23"/>
      <c r="H9" s="171" t="s">
        <v>14</v>
      </c>
      <c r="I9" s="172"/>
      <c r="J9" s="172"/>
      <c r="K9" s="172"/>
      <c r="L9" s="172"/>
      <c r="M9" s="172"/>
      <c r="N9" s="172"/>
      <c r="O9" s="172"/>
      <c r="P9" s="172"/>
      <c r="Q9" s="172"/>
      <c r="R9" s="172"/>
      <c r="S9" s="172"/>
      <c r="T9" s="172"/>
      <c r="U9" s="172"/>
      <c r="V9" s="172"/>
      <c r="W9" s="172"/>
      <c r="X9" s="172"/>
      <c r="Y9" s="279">
        <v>0.85</v>
      </c>
      <c r="Z9" s="280"/>
      <c r="AA9" s="281"/>
      <c r="AB9" s="180"/>
      <c r="AC9" s="174"/>
      <c r="AD9" s="175"/>
      <c r="AE9" s="23"/>
      <c r="AF9" s="14"/>
      <c r="AG9" s="10"/>
      <c r="AH9" s="10"/>
      <c r="AI9" s="10"/>
      <c r="AJ9" s="15"/>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I9" s="53" t="s">
        <v>69</v>
      </c>
      <c r="CJ9" s="49" t="s">
        <v>55</v>
      </c>
      <c r="CM9" s="29">
        <v>400</v>
      </c>
      <c r="CN9" s="29">
        <v>0.45200000000000001</v>
      </c>
      <c r="CO9" s="29">
        <v>0.138296</v>
      </c>
      <c r="CQ9" s="50">
        <v>400</v>
      </c>
      <c r="CR9" s="50">
        <v>550</v>
      </c>
      <c r="CS9" s="50">
        <v>280</v>
      </c>
      <c r="CT9" s="50">
        <v>330</v>
      </c>
      <c r="CU9" s="50">
        <v>315</v>
      </c>
      <c r="CV9" s="50">
        <v>555</v>
      </c>
      <c r="CW9" s="50">
        <v>285</v>
      </c>
      <c r="CX9" s="50">
        <v>555</v>
      </c>
      <c r="DY9" s="50"/>
      <c r="ED9" s="25" t="s">
        <v>26</v>
      </c>
      <c r="EE9" s="25" t="s">
        <v>27</v>
      </c>
      <c r="EG9" s="26"/>
      <c r="EH9" s="26">
        <v>15</v>
      </c>
      <c r="EI9" s="26">
        <v>112.8</v>
      </c>
      <c r="EJ9" s="26">
        <v>82</v>
      </c>
      <c r="EK9" s="26">
        <v>65.400000000000006</v>
      </c>
      <c r="EL9" s="26">
        <v>42.4</v>
      </c>
      <c r="EM9" s="26">
        <v>32.200000000000003</v>
      </c>
      <c r="EN9" s="26">
        <v>26.3</v>
      </c>
      <c r="EO9" s="26">
        <v>15.9</v>
      </c>
      <c r="EP9" s="26">
        <v>9.4</v>
      </c>
      <c r="EQ9" s="26">
        <v>6</v>
      </c>
      <c r="EU9" s="29">
        <v>0</v>
      </c>
      <c r="EV9" s="29">
        <f>EV7</f>
        <v>0.55399999999999994</v>
      </c>
      <c r="EW9" s="29">
        <f t="shared" si="22"/>
        <v>0.41386182919808273</v>
      </c>
      <c r="EX9" s="29">
        <f t="shared" si="23"/>
        <v>0.18171202072701576</v>
      </c>
      <c r="EY9" s="29"/>
      <c r="EZ9" s="29">
        <v>60</v>
      </c>
      <c r="FA9" s="50">
        <f t="shared" si="1"/>
        <v>0.46743750000000001</v>
      </c>
      <c r="FB9" s="50">
        <f t="shared" si="2"/>
        <v>0.77533355527243419</v>
      </c>
      <c r="FC9" s="29">
        <v>60</v>
      </c>
      <c r="FD9" s="50">
        <f t="shared" si="3"/>
        <v>0.41549999999999998</v>
      </c>
      <c r="FE9" s="50">
        <f t="shared" si="4"/>
        <v>0.77533355527243419</v>
      </c>
      <c r="FF9" s="29">
        <v>5</v>
      </c>
      <c r="FG9" s="29">
        <f t="shared" si="0"/>
        <v>0.31415926535897931</v>
      </c>
      <c r="FH9" s="29">
        <f t="shared" si="5"/>
        <v>0.39270509831248424</v>
      </c>
      <c r="FI9" s="29">
        <f t="shared" si="6"/>
        <v>0.58531695488854596</v>
      </c>
      <c r="FJ9" s="50"/>
      <c r="FL9" s="29">
        <f t="shared" si="7"/>
        <v>0</v>
      </c>
      <c r="FM9" s="29">
        <f t="shared" si="8"/>
        <v>0.55399999999999994</v>
      </c>
      <c r="FP9" s="29">
        <f t="shared" si="9"/>
        <v>0</v>
      </c>
      <c r="FQ9" s="29">
        <f t="shared" si="10"/>
        <v>0.55399999999999994</v>
      </c>
      <c r="FT9" s="29">
        <f t="shared" si="24"/>
        <v>0.2</v>
      </c>
      <c r="FU9" s="29">
        <f t="shared" si="25"/>
        <v>0.63849999999999996</v>
      </c>
      <c r="FW9" s="29">
        <v>-0.1</v>
      </c>
      <c r="FX9" s="29">
        <f>MAX(FU5:FU104)</f>
        <v>0.91549999999999998</v>
      </c>
      <c r="FZ9" s="51">
        <v>0</v>
      </c>
      <c r="GA9" s="51">
        <f>GA7</f>
        <v>0.55399999999999994</v>
      </c>
      <c r="GB9" s="51">
        <f t="shared" si="28"/>
        <v>0.41386182919808273</v>
      </c>
      <c r="GC9" s="51">
        <f t="shared" si="29"/>
        <v>0.18171202072701576</v>
      </c>
      <c r="GE9" s="51">
        <v>60</v>
      </c>
      <c r="GF9" s="52">
        <f t="shared" si="11"/>
        <v>0.46743750000000001</v>
      </c>
      <c r="GG9" s="52">
        <f t="shared" si="12"/>
        <v>0.77533355527243419</v>
      </c>
      <c r="GH9" s="51">
        <v>60</v>
      </c>
      <c r="GI9" s="52">
        <f t="shared" si="13"/>
        <v>0.41549999999999998</v>
      </c>
      <c r="GJ9" s="52">
        <f t="shared" si="14"/>
        <v>0.77533355527243419</v>
      </c>
      <c r="GK9" s="51">
        <v>5</v>
      </c>
      <c r="GL9" s="51">
        <f t="shared" si="15"/>
        <v>0.31415926535897931</v>
      </c>
      <c r="GM9" s="51">
        <f t="shared" si="16"/>
        <v>0.39270509831248424</v>
      </c>
      <c r="GN9" s="51">
        <f t="shared" si="17"/>
        <v>0.58531695488854596</v>
      </c>
      <c r="GO9" s="52"/>
      <c r="GQ9" s="51">
        <f t="shared" si="18"/>
        <v>0</v>
      </c>
      <c r="GR9" s="51">
        <f t="shared" si="19"/>
        <v>0.55399999999999994</v>
      </c>
      <c r="GU9" s="51">
        <f t="shared" si="20"/>
        <v>0</v>
      </c>
      <c r="GV9" s="51">
        <f t="shared" si="21"/>
        <v>0.55399999999999994</v>
      </c>
      <c r="GY9" s="51">
        <f t="shared" si="26"/>
        <v>0.2</v>
      </c>
      <c r="GZ9" s="51">
        <f t="shared" si="27"/>
        <v>0.63849999999999996</v>
      </c>
      <c r="HB9" s="51">
        <v>-0.1</v>
      </c>
      <c r="HC9" s="51">
        <f>MAX(GZ5:GZ104)</f>
        <v>0.91549999999999998</v>
      </c>
    </row>
    <row r="10" spans="2:211" ht="15.75" thickBot="1">
      <c r="B10" s="9"/>
      <c r="C10" s="10"/>
      <c r="D10" s="10"/>
      <c r="E10" s="10"/>
      <c r="F10" s="11"/>
      <c r="G10" s="23"/>
      <c r="H10" s="171" t="s">
        <v>15</v>
      </c>
      <c r="I10" s="172"/>
      <c r="J10" s="172"/>
      <c r="K10" s="172"/>
      <c r="L10" s="172"/>
      <c r="M10" s="172"/>
      <c r="N10" s="172"/>
      <c r="O10" s="172"/>
      <c r="P10" s="172"/>
      <c r="Q10" s="172"/>
      <c r="R10" s="172"/>
      <c r="S10" s="172"/>
      <c r="T10" s="172"/>
      <c r="U10" s="172"/>
      <c r="V10" s="172"/>
      <c r="W10" s="172"/>
      <c r="X10" s="172"/>
      <c r="Y10" s="141" t="s">
        <v>24</v>
      </c>
      <c r="Z10" s="142"/>
      <c r="AA10" s="143"/>
      <c r="AB10" s="180"/>
      <c r="AC10" s="174"/>
      <c r="AD10" s="175"/>
      <c r="AE10" s="23"/>
      <c r="AF10" s="14"/>
      <c r="AG10" s="10"/>
      <c r="AH10" s="10"/>
      <c r="AI10" s="10"/>
      <c r="AJ10" s="15"/>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I10" s="53" t="s">
        <v>70</v>
      </c>
      <c r="CJ10" s="49">
        <v>275</v>
      </c>
      <c r="CK10" s="29" t="s">
        <v>71</v>
      </c>
      <c r="CM10" s="29">
        <v>500</v>
      </c>
      <c r="CN10" s="29">
        <v>0.56799999999999995</v>
      </c>
      <c r="CO10" s="29">
        <v>0.21649299999999999</v>
      </c>
      <c r="CQ10" s="50">
        <v>500</v>
      </c>
      <c r="CR10" s="50">
        <v>700</v>
      </c>
      <c r="CS10" s="50">
        <v>330</v>
      </c>
      <c r="CT10" s="50">
        <v>380</v>
      </c>
      <c r="CU10" s="50" t="s">
        <v>72</v>
      </c>
      <c r="CV10" s="50" t="s">
        <v>72</v>
      </c>
      <c r="CW10" s="50" t="s">
        <v>72</v>
      </c>
      <c r="CX10" s="50" t="s">
        <v>72</v>
      </c>
      <c r="DY10" s="50"/>
      <c r="ED10" s="25" t="s">
        <v>28</v>
      </c>
      <c r="EE10" s="25" t="s">
        <v>29</v>
      </c>
      <c r="EG10" s="26"/>
      <c r="EH10" s="26">
        <v>20</v>
      </c>
      <c r="EI10" s="26">
        <v>119.4</v>
      </c>
      <c r="EJ10" s="26">
        <v>87.1</v>
      </c>
      <c r="EK10" s="26">
        <v>69.599999999999994</v>
      </c>
      <c r="EL10" s="26">
        <v>45.2</v>
      </c>
      <c r="EM10" s="26">
        <v>34.4</v>
      </c>
      <c r="EN10" s="26">
        <v>28.1</v>
      </c>
      <c r="EO10" s="26">
        <v>17</v>
      </c>
      <c r="EP10" s="26">
        <v>10.1</v>
      </c>
      <c r="EQ10" s="26">
        <v>6</v>
      </c>
      <c r="EU10" s="29">
        <v>0</v>
      </c>
      <c r="EV10" s="29">
        <f>EV6</f>
        <v>0.27699999999999997</v>
      </c>
      <c r="EW10" s="29">
        <f t="shared" si="22"/>
        <v>0.41182017633888501</v>
      </c>
      <c r="EX10" s="29">
        <f t="shared" si="23"/>
        <v>0.16882153189481566</v>
      </c>
      <c r="EY10" s="29"/>
      <c r="EZ10" s="29">
        <v>75</v>
      </c>
      <c r="FA10" s="50">
        <f t="shared" si="1"/>
        <v>0.39227948493007303</v>
      </c>
      <c r="FB10" s="50">
        <f t="shared" si="2"/>
        <v>0.81684218082310789</v>
      </c>
      <c r="FC10" s="29">
        <v>75</v>
      </c>
      <c r="FD10" s="50">
        <f t="shared" si="3"/>
        <v>0.34869287549339822</v>
      </c>
      <c r="FE10" s="50">
        <f t="shared" si="4"/>
        <v>0.81684218082310789</v>
      </c>
      <c r="FF10" s="29">
        <v>6</v>
      </c>
      <c r="FG10" s="29">
        <f t="shared" si="0"/>
        <v>0.37699111843077515</v>
      </c>
      <c r="FH10" s="29">
        <f t="shared" si="5"/>
        <v>0.41043736580540335</v>
      </c>
      <c r="FI10" s="29">
        <f t="shared" si="6"/>
        <v>0.57893294576647536</v>
      </c>
      <c r="FJ10" s="50"/>
      <c r="FL10" s="29">
        <f t="shared" si="7"/>
        <v>0</v>
      </c>
      <c r="FM10" s="29">
        <f t="shared" si="8"/>
        <v>0.27699999999999997</v>
      </c>
      <c r="FP10" s="29">
        <f t="shared" si="9"/>
        <v>0</v>
      </c>
      <c r="FQ10" s="29">
        <f t="shared" si="10"/>
        <v>0.27699999999999997</v>
      </c>
      <c r="FT10" s="29">
        <f t="shared" si="24"/>
        <v>0.2</v>
      </c>
      <c r="FU10" s="29">
        <f t="shared" si="25"/>
        <v>0.36149999999999999</v>
      </c>
      <c r="FZ10" s="51">
        <v>0</v>
      </c>
      <c r="GA10" s="51">
        <f>GA6</f>
        <v>0.27699999999999997</v>
      </c>
      <c r="GB10" s="51">
        <f t="shared" si="28"/>
        <v>0.41182017633888501</v>
      </c>
      <c r="GC10" s="51">
        <f t="shared" si="29"/>
        <v>0.16882153189481566</v>
      </c>
      <c r="GE10" s="51">
        <v>75</v>
      </c>
      <c r="GF10" s="52">
        <f t="shared" si="11"/>
        <v>0.39227948493007303</v>
      </c>
      <c r="GG10" s="52">
        <f t="shared" si="12"/>
        <v>0.81684218082310789</v>
      </c>
      <c r="GH10" s="51">
        <v>75</v>
      </c>
      <c r="GI10" s="52">
        <f t="shared" si="13"/>
        <v>0.34869287549339822</v>
      </c>
      <c r="GJ10" s="52">
        <f t="shared" si="14"/>
        <v>0.81684218082310789</v>
      </c>
      <c r="GK10" s="51">
        <v>6</v>
      </c>
      <c r="GL10" s="51">
        <f t="shared" si="15"/>
        <v>0.37699111843077515</v>
      </c>
      <c r="GM10" s="51">
        <f t="shared" si="16"/>
        <v>0.41043736580540335</v>
      </c>
      <c r="GN10" s="51">
        <f t="shared" si="17"/>
        <v>0.57893294576647536</v>
      </c>
      <c r="GO10" s="52"/>
      <c r="GQ10" s="51">
        <f t="shared" si="18"/>
        <v>0</v>
      </c>
      <c r="GR10" s="51">
        <f t="shared" si="19"/>
        <v>0.27699999999999997</v>
      </c>
      <c r="GU10" s="51">
        <f t="shared" si="20"/>
        <v>0</v>
      </c>
      <c r="GV10" s="51">
        <f t="shared" si="21"/>
        <v>0.27699999999999997</v>
      </c>
      <c r="GY10" s="51">
        <f t="shared" si="26"/>
        <v>0.2</v>
      </c>
      <c r="GZ10" s="51">
        <f t="shared" si="27"/>
        <v>0.36149999999999999</v>
      </c>
    </row>
    <row r="11" spans="2:211" ht="15.75" thickBot="1">
      <c r="B11" s="9"/>
      <c r="C11" s="10"/>
      <c r="D11" s="10"/>
      <c r="E11" s="10"/>
      <c r="F11" s="11"/>
      <c r="G11" s="23"/>
      <c r="H11" s="171" t="s">
        <v>16</v>
      </c>
      <c r="I11" s="172"/>
      <c r="J11" s="172"/>
      <c r="K11" s="172"/>
      <c r="L11" s="172"/>
      <c r="M11" s="172"/>
      <c r="N11" s="172"/>
      <c r="O11" s="172"/>
      <c r="P11" s="172"/>
      <c r="Q11" s="172"/>
      <c r="R11" s="172"/>
      <c r="S11" s="172"/>
      <c r="T11" s="172"/>
      <c r="U11" s="172"/>
      <c r="V11" s="172"/>
      <c r="W11" s="172"/>
      <c r="X11" s="172"/>
      <c r="Y11" s="279">
        <v>10</v>
      </c>
      <c r="Z11" s="280"/>
      <c r="AA11" s="281"/>
      <c r="AB11" s="173" t="s">
        <v>18</v>
      </c>
      <c r="AC11" s="174"/>
      <c r="AD11" s="175"/>
      <c r="AE11" s="23"/>
      <c r="AF11" s="14"/>
      <c r="AG11" s="10"/>
      <c r="AH11" s="10"/>
      <c r="AI11" s="10"/>
      <c r="AJ11" s="15"/>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29" t="s">
        <v>73</v>
      </c>
      <c r="CI11" s="53" t="s">
        <v>74</v>
      </c>
      <c r="CJ11" s="56">
        <f>IF(P64="Custom",P66,IF(P64="hexagon",VLOOKUP(P$65,CM$6:CN$11,2,FALSE),IF(P64="Oval",VLOOKUP(P65,CM14:CN19,2,FALSE),P65/1000)))</f>
        <v>0.83099999999999996</v>
      </c>
      <c r="CK11" s="29" t="s">
        <v>1</v>
      </c>
      <c r="CL11" s="56">
        <f>IF(M116="hexagon",VLOOKUP(M117,CM$6:CN$11,2,FALSE),IF(M116="Oval",VLOOKUP(M117,CM14:CN19,2,FALSE),M117/1000))</f>
        <v>0.83099999999999996</v>
      </c>
      <c r="CM11" s="29">
        <v>600</v>
      </c>
      <c r="CN11" s="29">
        <v>0.83099999999999996</v>
      </c>
      <c r="CO11" s="29">
        <v>0.40054800000000002</v>
      </c>
      <c r="CQ11" s="50">
        <v>600</v>
      </c>
      <c r="CR11" s="50">
        <v>900</v>
      </c>
      <c r="CS11" s="50" t="s">
        <v>72</v>
      </c>
      <c r="CT11" s="50" t="s">
        <v>72</v>
      </c>
      <c r="CU11" s="50" t="s">
        <v>72</v>
      </c>
      <c r="CV11" s="50" t="s">
        <v>72</v>
      </c>
      <c r="CW11" s="50" t="s">
        <v>72</v>
      </c>
      <c r="CX11" s="50" t="s">
        <v>72</v>
      </c>
      <c r="DY11" s="50"/>
      <c r="ED11" s="25" t="s">
        <v>30</v>
      </c>
      <c r="EE11" s="25" t="s">
        <v>31</v>
      </c>
      <c r="EG11" s="26"/>
      <c r="EH11" s="26">
        <v>25</v>
      </c>
      <c r="EI11" s="26">
        <v>124.8</v>
      </c>
      <c r="EJ11" s="26">
        <v>91.3</v>
      </c>
      <c r="EK11" s="26">
        <v>73.099999999999994</v>
      </c>
      <c r="EL11" s="26">
        <v>47.5</v>
      </c>
      <c r="EM11" s="26">
        <v>36.200000000000003</v>
      </c>
      <c r="EN11" s="26">
        <v>29.6</v>
      </c>
      <c r="EO11" s="26">
        <v>17.899999999999999</v>
      </c>
      <c r="EP11" s="26">
        <v>10.6</v>
      </c>
      <c r="EQ11" s="26">
        <v>6</v>
      </c>
      <c r="EU11" s="51">
        <f>EU5</f>
        <v>0.3</v>
      </c>
      <c r="EV11" s="51">
        <f>EV5</f>
        <v>0</v>
      </c>
      <c r="EW11" s="29">
        <f t="shared" si="22"/>
        <v>0.40897315172447313</v>
      </c>
      <c r="EX11" s="29">
        <f t="shared" si="23"/>
        <v>0.15608467594150144</v>
      </c>
      <c r="EY11" s="29"/>
      <c r="EZ11" s="29">
        <v>90</v>
      </c>
      <c r="FA11" s="50">
        <f t="shared" si="1"/>
        <v>0.31162499999999999</v>
      </c>
      <c r="FB11" s="50">
        <f t="shared" si="2"/>
        <v>0.83099999999999996</v>
      </c>
      <c r="FC11" s="29">
        <v>90</v>
      </c>
      <c r="FD11" s="50">
        <f t="shared" si="3"/>
        <v>0.27699999999999997</v>
      </c>
      <c r="FE11" s="50">
        <f t="shared" si="4"/>
        <v>0.83099999999999996</v>
      </c>
      <c r="FF11" s="29">
        <v>7</v>
      </c>
      <c r="FG11" s="29">
        <f t="shared" si="0"/>
        <v>0.4398229715025711</v>
      </c>
      <c r="FH11" s="29">
        <f t="shared" si="5"/>
        <v>0.42773378746952179</v>
      </c>
      <c r="FI11" s="29">
        <f t="shared" si="6"/>
        <v>0.57144811573980581</v>
      </c>
      <c r="FJ11" s="50"/>
      <c r="FL11" s="29">
        <f t="shared" si="7"/>
        <v>0.3</v>
      </c>
      <c r="FM11" s="29">
        <f t="shared" si="8"/>
        <v>0</v>
      </c>
      <c r="FP11" s="29">
        <f t="shared" si="9"/>
        <v>0.3</v>
      </c>
      <c r="FQ11" s="29">
        <f t="shared" si="10"/>
        <v>0</v>
      </c>
      <c r="FT11" s="29">
        <f t="shared" si="24"/>
        <v>0.5</v>
      </c>
      <c r="FU11" s="29">
        <f t="shared" si="25"/>
        <v>8.450000000000002E-2</v>
      </c>
      <c r="FV11" t="str">
        <f>ROUNDUP(MAX(FL5:FL104),2)&amp;"m"</f>
        <v>0.6m</v>
      </c>
      <c r="FW11">
        <f>FW6-((FW6-FW5)/2)</f>
        <v>0.5</v>
      </c>
      <c r="FX11" s="29">
        <v>-0.1</v>
      </c>
      <c r="FZ11" s="51">
        <f>FZ5</f>
        <v>0.3</v>
      </c>
      <c r="GA11" s="51">
        <f>GA5</f>
        <v>0</v>
      </c>
      <c r="GB11" s="51">
        <f t="shared" si="28"/>
        <v>0.40897315172447313</v>
      </c>
      <c r="GC11" s="51">
        <f t="shared" si="29"/>
        <v>0.15608467594150144</v>
      </c>
      <c r="GE11" s="51">
        <v>90</v>
      </c>
      <c r="GF11" s="52">
        <f t="shared" si="11"/>
        <v>0.31162499999999999</v>
      </c>
      <c r="GG11" s="52">
        <f t="shared" si="12"/>
        <v>0.83099999999999996</v>
      </c>
      <c r="GH11" s="51">
        <v>90</v>
      </c>
      <c r="GI11" s="52">
        <f t="shared" si="13"/>
        <v>0.27699999999999997</v>
      </c>
      <c r="GJ11" s="52">
        <f t="shared" si="14"/>
        <v>0.83099999999999996</v>
      </c>
      <c r="GK11" s="51">
        <v>7</v>
      </c>
      <c r="GL11" s="51">
        <f t="shared" si="15"/>
        <v>0.4398229715025711</v>
      </c>
      <c r="GM11" s="51">
        <f t="shared" si="16"/>
        <v>0.42773378746952179</v>
      </c>
      <c r="GN11" s="51">
        <f t="shared" si="17"/>
        <v>0.57144811573980581</v>
      </c>
      <c r="GO11" s="52"/>
      <c r="GQ11" s="51">
        <f t="shared" si="18"/>
        <v>0.3</v>
      </c>
      <c r="GR11" s="51">
        <f t="shared" si="19"/>
        <v>0</v>
      </c>
      <c r="GU11" s="51">
        <f t="shared" si="20"/>
        <v>0.3</v>
      </c>
      <c r="GV11" s="51">
        <f t="shared" si="21"/>
        <v>0</v>
      </c>
      <c r="GY11" s="51">
        <f t="shared" si="26"/>
        <v>0.5</v>
      </c>
      <c r="GZ11" s="51">
        <f t="shared" si="27"/>
        <v>8.450000000000002E-2</v>
      </c>
      <c r="HA11" s="51" t="str">
        <f>ROUNDUP(MAX(GQ5:GQ104),2)&amp;"m"</f>
        <v>0.6m</v>
      </c>
      <c r="HB11" s="51">
        <f>HB6-((HB6-HB5)/2)</f>
        <v>0.5</v>
      </c>
      <c r="HC11" s="51">
        <v>-0.1</v>
      </c>
    </row>
    <row r="12" spans="2:211" ht="15.75" thickBot="1">
      <c r="B12" s="9"/>
      <c r="C12" s="10"/>
      <c r="D12" s="10"/>
      <c r="E12" s="10"/>
      <c r="F12" s="11"/>
      <c r="G12" s="23"/>
      <c r="H12" s="171" t="s">
        <v>110</v>
      </c>
      <c r="I12" s="172"/>
      <c r="J12" s="172"/>
      <c r="K12" s="172"/>
      <c r="L12" s="172"/>
      <c r="M12" s="172"/>
      <c r="N12" s="172"/>
      <c r="O12" s="172"/>
      <c r="P12" s="172"/>
      <c r="Q12" s="172"/>
      <c r="R12" s="172"/>
      <c r="S12" s="172"/>
      <c r="T12" s="172"/>
      <c r="U12" s="172"/>
      <c r="V12" s="172"/>
      <c r="W12" s="172"/>
      <c r="X12" s="172"/>
      <c r="Y12" s="279">
        <v>5</v>
      </c>
      <c r="Z12" s="280"/>
      <c r="AA12" s="281"/>
      <c r="AB12" s="173" t="s">
        <v>111</v>
      </c>
      <c r="AC12" s="174"/>
      <c r="AD12" s="175"/>
      <c r="AE12" s="23"/>
      <c r="AF12" s="14"/>
      <c r="AG12" s="10"/>
      <c r="AH12" s="10"/>
      <c r="AI12" s="10"/>
      <c r="AJ12" s="15"/>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29" t="s">
        <v>20</v>
      </c>
      <c r="CI12" s="53" t="s">
        <v>75</v>
      </c>
      <c r="CJ12" s="56">
        <f>IF(P64="Custom",P67,IF(P64="hexagon",VLOOKUP(P65,CM$6:CO$11,3,FALSE),IF(P64="Oval",VLOOKUP(P65,CM14:CO18,3,FALSE),IF(P64="Channel100",VLOOKUP(P65,CM22:CO26,3,FALSE),IF(P64="Channel150",VLOOKUP(P65,CM29:CO33,3,FALSE),IF(P64="Channel200",VLOOKUP(P65,CM36:CO39,3,FALSE),IF(P64="Channel430",VLOOKUP(P65,CM42:CO45,3,FALSE),IF(P64="KerbDrain150",VLOOKUP(P65,CM48:CO51,3,FALSE),IF(P64="KerbDrain280",VLOOKUP(P65,CM54:CO57,3,FALSE),"Error")))))))))</f>
        <v>0.40054800000000002</v>
      </c>
      <c r="CK12" s="29" t="s">
        <v>48</v>
      </c>
      <c r="CL12" s="56">
        <f>IF(M116="hexagon",VLOOKUP(M117,CM$6:CO$11,3,FALSE),IF(M116="Oval",VLOOKUP(M117,CM14:CO19,3,FALSE),IF(M116="Channel100",VLOOKUP(M117,CM22:CO26,3,FALSE),IF(M116="Channel150",VLOOKUP(M117,CM29:CO33,3,FALSE),IF(M116="Channel200",VLOOKUP(M117,CM36:CO39,3,FALSE),IF(M116="Channel430",VLOOKUP(M117,CM42:CO45,3,FALSE),IF(M116="KerbDrain150",VLOOKUP(M117,CM48:CO51,3,FALSE),IF(M116="KerbDrain280",VLOOKUP(M117,CM54:CO57,3,FALSE),"Error"))))))))</f>
        <v>0.40054800000000002</v>
      </c>
      <c r="CM12" s="51"/>
      <c r="CN12" s="51"/>
      <c r="CO12" s="51"/>
      <c r="CP12" s="51"/>
      <c r="CQ12" s="52"/>
      <c r="CR12" s="52"/>
      <c r="CS12" s="52"/>
      <c r="CT12" s="52"/>
      <c r="CU12" s="52"/>
      <c r="CV12" s="52"/>
      <c r="CW12" s="52"/>
      <c r="CX12" s="52"/>
      <c r="CY12" s="51"/>
      <c r="CZ12" s="51"/>
      <c r="DA12" s="51"/>
      <c r="DN12" s="51"/>
      <c r="DO12" s="51"/>
      <c r="DS12" s="51"/>
      <c r="DY12" s="50"/>
      <c r="ED12" s="25" t="s">
        <v>32</v>
      </c>
      <c r="EE12" s="25" t="s">
        <v>33</v>
      </c>
      <c r="EG12" s="26"/>
      <c r="EH12" s="26">
        <v>30</v>
      </c>
      <c r="EI12" s="26">
        <v>129.30000000000001</v>
      </c>
      <c r="EJ12" s="26">
        <v>94.9</v>
      </c>
      <c r="EK12" s="26">
        <v>76</v>
      </c>
      <c r="EL12" s="26">
        <v>49.5</v>
      </c>
      <c r="EM12" s="26">
        <v>37.700000000000003</v>
      </c>
      <c r="EN12" s="26">
        <v>30.8</v>
      </c>
      <c r="EO12" s="26">
        <v>18.600000000000001</v>
      </c>
      <c r="EP12" s="26">
        <v>11</v>
      </c>
      <c r="EQ12" s="26">
        <v>6</v>
      </c>
      <c r="EU12" s="51"/>
      <c r="EV12" s="51"/>
      <c r="EW12" s="29">
        <f t="shared" si="22"/>
        <v>0.40533199126031816</v>
      </c>
      <c r="EX12" s="29">
        <f t="shared" si="23"/>
        <v>0.14355171941860467</v>
      </c>
      <c r="EY12" s="29"/>
      <c r="EZ12" s="29">
        <v>105</v>
      </c>
      <c r="FA12" s="50">
        <f t="shared" si="1"/>
        <v>0.23097051506992694</v>
      </c>
      <c r="FB12" s="50">
        <f t="shared" si="2"/>
        <v>0.81684218082310789</v>
      </c>
      <c r="FC12" s="29">
        <v>105</v>
      </c>
      <c r="FD12" s="50">
        <f t="shared" si="3"/>
        <v>0.20530712450660171</v>
      </c>
      <c r="FE12" s="50">
        <f t="shared" si="4"/>
        <v>0.81684218082310789</v>
      </c>
      <c r="FF12" s="29">
        <v>8</v>
      </c>
      <c r="FG12" s="29">
        <f t="shared" si="0"/>
        <v>0.50265482457436694</v>
      </c>
      <c r="FH12" s="29">
        <f t="shared" si="5"/>
        <v>0.44452610223051459</v>
      </c>
      <c r="FI12" s="29">
        <f t="shared" si="6"/>
        <v>0.56289200401315909</v>
      </c>
      <c r="FJ12" s="50"/>
      <c r="FL12" s="29">
        <f t="shared" si="7"/>
        <v>0</v>
      </c>
      <c r="FM12" s="29">
        <f t="shared" si="8"/>
        <v>0</v>
      </c>
      <c r="FP12" s="29">
        <f t="shared" si="9"/>
        <v>0</v>
      </c>
      <c r="FQ12" s="29">
        <f t="shared" si="10"/>
        <v>0</v>
      </c>
      <c r="FT12" s="29">
        <f t="shared" si="24"/>
        <v>0.5</v>
      </c>
      <c r="FU12" s="29">
        <f t="shared" si="25"/>
        <v>8.450000000000002E-2</v>
      </c>
      <c r="GB12" s="51">
        <f t="shared" si="28"/>
        <v>0.40533199126031816</v>
      </c>
      <c r="GC12" s="51">
        <f t="shared" si="29"/>
        <v>0.14355171941860467</v>
      </c>
      <c r="GE12" s="51">
        <v>105</v>
      </c>
      <c r="GF12" s="52">
        <f t="shared" si="11"/>
        <v>0.23097051506992694</v>
      </c>
      <c r="GG12" s="52">
        <f t="shared" si="12"/>
        <v>0.81684218082310789</v>
      </c>
      <c r="GH12" s="51">
        <v>105</v>
      </c>
      <c r="GI12" s="52">
        <f t="shared" si="13"/>
        <v>0.20530712450660171</v>
      </c>
      <c r="GJ12" s="52">
        <f t="shared" si="14"/>
        <v>0.81684218082310789</v>
      </c>
      <c r="GK12" s="51">
        <v>8</v>
      </c>
      <c r="GL12" s="51">
        <f t="shared" si="15"/>
        <v>0.50265482457436694</v>
      </c>
      <c r="GM12" s="51">
        <f t="shared" si="16"/>
        <v>0.44452610223051459</v>
      </c>
      <c r="GN12" s="51">
        <f t="shared" si="17"/>
        <v>0.56289200401315909</v>
      </c>
      <c r="GO12" s="52"/>
      <c r="GQ12" s="51">
        <f t="shared" si="18"/>
        <v>0</v>
      </c>
      <c r="GR12" s="51">
        <f t="shared" si="19"/>
        <v>0</v>
      </c>
      <c r="GU12" s="51">
        <f t="shared" si="20"/>
        <v>0</v>
      </c>
      <c r="GV12" s="51">
        <f t="shared" si="21"/>
        <v>0</v>
      </c>
      <c r="GY12" s="51">
        <f t="shared" si="26"/>
        <v>0.5</v>
      </c>
      <c r="GZ12" s="51">
        <f t="shared" si="27"/>
        <v>8.450000000000002E-2</v>
      </c>
    </row>
    <row r="13" spans="2:211" ht="15.75" thickBot="1">
      <c r="B13" s="9"/>
      <c r="C13" s="10"/>
      <c r="D13" s="10"/>
      <c r="E13" s="10"/>
      <c r="F13" s="11"/>
      <c r="G13" s="23"/>
      <c r="H13" s="71" t="s">
        <v>17</v>
      </c>
      <c r="I13" s="184"/>
      <c r="J13" s="184"/>
      <c r="K13" s="184"/>
      <c r="L13" s="184"/>
      <c r="M13" s="184"/>
      <c r="N13" s="184"/>
      <c r="O13" s="184"/>
      <c r="P13" s="184"/>
      <c r="Q13" s="184"/>
      <c r="R13" s="184"/>
      <c r="S13" s="184"/>
      <c r="T13" s="184"/>
      <c r="U13" s="184"/>
      <c r="V13" s="184"/>
      <c r="W13" s="184"/>
      <c r="X13" s="184"/>
      <c r="Y13" s="279">
        <v>5</v>
      </c>
      <c r="Z13" s="280"/>
      <c r="AA13" s="281"/>
      <c r="AB13" s="94" t="s">
        <v>0</v>
      </c>
      <c r="AC13" s="181"/>
      <c r="AD13" s="182"/>
      <c r="AE13" s="13"/>
      <c r="AF13" s="14"/>
      <c r="AG13" s="10"/>
      <c r="AH13" s="10"/>
      <c r="AI13" s="10"/>
      <c r="AJ13" s="15"/>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M13" s="29" t="s">
        <v>58</v>
      </c>
      <c r="CQ13" s="50" t="s">
        <v>55</v>
      </c>
      <c r="CR13" s="50" t="s">
        <v>58</v>
      </c>
      <c r="CS13" s="50" t="s">
        <v>59</v>
      </c>
      <c r="CT13" s="50" t="s">
        <v>60</v>
      </c>
      <c r="CU13" s="50" t="s">
        <v>61</v>
      </c>
      <c r="CV13" s="50" t="s">
        <v>62</v>
      </c>
      <c r="CW13" s="50" t="s">
        <v>63</v>
      </c>
      <c r="CX13" s="50" t="s">
        <v>64</v>
      </c>
      <c r="CY13" s="51"/>
      <c r="CZ13" s="51"/>
      <c r="DA13" s="51"/>
      <c r="DN13" s="51"/>
      <c r="DO13" s="51"/>
      <c r="DS13" s="51"/>
      <c r="DY13" s="50"/>
      <c r="ED13" s="25" t="s">
        <v>34</v>
      </c>
      <c r="EE13" s="25" t="s">
        <v>35</v>
      </c>
      <c r="EG13" s="26"/>
      <c r="EH13" s="26">
        <v>50</v>
      </c>
      <c r="EI13" s="26">
        <v>143</v>
      </c>
      <c r="EJ13" s="26">
        <v>105.7</v>
      </c>
      <c r="EK13" s="26">
        <v>84.9</v>
      </c>
      <c r="EL13" s="26">
        <v>55.5</v>
      </c>
      <c r="EM13" s="26">
        <v>42.3</v>
      </c>
      <c r="EN13" s="26">
        <v>34.6</v>
      </c>
      <c r="EO13" s="26">
        <v>20.9</v>
      </c>
      <c r="EP13" s="26">
        <v>12.3</v>
      </c>
      <c r="EQ13" s="26">
        <v>7</v>
      </c>
      <c r="EU13" s="51"/>
      <c r="EV13" s="51"/>
      <c r="EW13" s="29">
        <f t="shared" si="22"/>
        <v>0.40091106494328421</v>
      </c>
      <c r="EX13" s="29">
        <f t="shared" si="23"/>
        <v>0.13127212417975814</v>
      </c>
      <c r="EY13" s="29"/>
      <c r="EZ13" s="29">
        <v>120</v>
      </c>
      <c r="FA13" s="50">
        <f t="shared" si="1"/>
        <v>0.15581250000000005</v>
      </c>
      <c r="FB13" s="50">
        <f t="shared" si="2"/>
        <v>0.7753335552724343</v>
      </c>
      <c r="FC13" s="29">
        <v>120</v>
      </c>
      <c r="FD13" s="50">
        <f t="shared" si="3"/>
        <v>0.13850000000000004</v>
      </c>
      <c r="FE13" s="50">
        <f t="shared" si="4"/>
        <v>0.7753335552724343</v>
      </c>
      <c r="FF13" s="29">
        <v>9</v>
      </c>
      <c r="FG13" s="29">
        <f t="shared" si="0"/>
        <v>0.56548667764616278</v>
      </c>
      <c r="FH13" s="29">
        <f t="shared" si="5"/>
        <v>0.46074803849369894</v>
      </c>
      <c r="FI13" s="29">
        <f t="shared" si="6"/>
        <v>0.55329837765060452</v>
      </c>
      <c r="FJ13" s="50"/>
      <c r="FL13" s="29">
        <f t="shared" si="7"/>
        <v>0</v>
      </c>
      <c r="FM13" s="29">
        <f t="shared" si="8"/>
        <v>0</v>
      </c>
      <c r="FP13" s="29">
        <f t="shared" si="9"/>
        <v>0</v>
      </c>
      <c r="FQ13" s="29">
        <f t="shared" si="10"/>
        <v>0</v>
      </c>
      <c r="FT13" s="29">
        <f t="shared" si="24"/>
        <v>0.5</v>
      </c>
      <c r="FU13" s="29">
        <f t="shared" si="25"/>
        <v>8.450000000000002E-2</v>
      </c>
      <c r="GB13" s="51">
        <f t="shared" si="28"/>
        <v>0.40091106494328421</v>
      </c>
      <c r="GC13" s="51">
        <f t="shared" si="29"/>
        <v>0.13127212417975814</v>
      </c>
      <c r="GE13" s="51">
        <v>120</v>
      </c>
      <c r="GF13" s="52">
        <f t="shared" si="11"/>
        <v>0.15581250000000005</v>
      </c>
      <c r="GG13" s="52">
        <f t="shared" si="12"/>
        <v>0.7753335552724343</v>
      </c>
      <c r="GH13" s="51">
        <v>120</v>
      </c>
      <c r="GI13" s="52">
        <f t="shared" si="13"/>
        <v>0.13850000000000004</v>
      </c>
      <c r="GJ13" s="52">
        <f t="shared" si="14"/>
        <v>0.7753335552724343</v>
      </c>
      <c r="GK13" s="51">
        <v>9</v>
      </c>
      <c r="GL13" s="51">
        <f t="shared" si="15"/>
        <v>0.56548667764616278</v>
      </c>
      <c r="GM13" s="51">
        <f t="shared" si="16"/>
        <v>0.46074803849369894</v>
      </c>
      <c r="GN13" s="51">
        <f t="shared" si="17"/>
        <v>0.55329837765060452</v>
      </c>
      <c r="GO13" s="52"/>
      <c r="GQ13" s="51">
        <f t="shared" si="18"/>
        <v>0</v>
      </c>
      <c r="GR13" s="51">
        <f t="shared" si="19"/>
        <v>0</v>
      </c>
      <c r="GU13" s="51">
        <f t="shared" si="20"/>
        <v>0</v>
      </c>
      <c r="GV13" s="51">
        <f t="shared" si="21"/>
        <v>0</v>
      </c>
      <c r="GY13" s="51">
        <f t="shared" si="26"/>
        <v>0.5</v>
      </c>
      <c r="GZ13" s="51">
        <f t="shared" si="27"/>
        <v>8.450000000000002E-2</v>
      </c>
    </row>
    <row r="14" spans="2:211">
      <c r="B14" s="9"/>
      <c r="C14" s="10"/>
      <c r="D14" s="10"/>
      <c r="E14" s="10"/>
      <c r="F14" s="11"/>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4"/>
      <c r="AG14" s="10"/>
      <c r="AH14" s="10"/>
      <c r="AI14" s="10"/>
      <c r="AJ14" s="15"/>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29" t="s">
        <v>76</v>
      </c>
      <c r="CI14" s="53" t="s">
        <v>77</v>
      </c>
      <c r="CJ14" s="29">
        <f>(CJ2*CJ3*CJ4)/3600</f>
        <v>111.25</v>
      </c>
      <c r="CK14" s="29" t="s">
        <v>2</v>
      </c>
      <c r="CM14" s="50">
        <v>150</v>
      </c>
      <c r="CN14" s="29">
        <v>0.15</v>
      </c>
      <c r="CO14" s="50">
        <v>1.7670000000000002E-2</v>
      </c>
      <c r="CQ14" s="29">
        <v>0.16600000000000001</v>
      </c>
      <c r="CR14" s="29">
        <v>0.15</v>
      </c>
      <c r="CS14" s="29">
        <v>0.13</v>
      </c>
      <c r="CT14" s="29">
        <v>0.18</v>
      </c>
      <c r="CU14" s="29">
        <v>0.24</v>
      </c>
      <c r="CV14" s="29">
        <v>0.13500000000000001</v>
      </c>
      <c r="CW14" s="29">
        <v>0.13500000000000001</v>
      </c>
      <c r="CX14" s="29">
        <v>0.13500000000000001</v>
      </c>
      <c r="CY14" s="51"/>
      <c r="CZ14" s="51"/>
      <c r="DA14" s="51"/>
      <c r="DN14" s="51"/>
      <c r="DO14" s="51"/>
      <c r="DS14" s="51"/>
      <c r="DY14" s="50"/>
      <c r="EG14" s="26"/>
      <c r="EH14" s="26">
        <v>100</v>
      </c>
      <c r="EI14" s="26">
        <v>163.9</v>
      </c>
      <c r="EJ14" s="26">
        <v>122.4</v>
      </c>
      <c r="EK14" s="26">
        <v>98.7</v>
      </c>
      <c r="EL14" s="26">
        <v>64.8</v>
      </c>
      <c r="EM14" s="26">
        <v>49.5</v>
      </c>
      <c r="EN14" s="26">
        <v>40.5</v>
      </c>
      <c r="EO14" s="26">
        <v>24.5</v>
      </c>
      <c r="EP14" s="26">
        <v>14.3</v>
      </c>
      <c r="EQ14" s="26">
        <v>8</v>
      </c>
      <c r="EU14" s="51"/>
      <c r="EV14" s="51"/>
      <c r="EW14" s="29">
        <f t="shared" si="22"/>
        <v>0.39572782014981556</v>
      </c>
      <c r="EX14" s="29">
        <f t="shared" si="23"/>
        <v>0.11929435217735614</v>
      </c>
      <c r="EY14" s="29"/>
      <c r="EZ14" s="29">
        <v>135</v>
      </c>
      <c r="FA14" s="50">
        <f t="shared" si="1"/>
        <v>9.1272849312742155E-2</v>
      </c>
      <c r="FB14" s="50">
        <f t="shared" si="2"/>
        <v>0.70930286758301042</v>
      </c>
      <c r="FC14" s="29">
        <v>135</v>
      </c>
      <c r="FD14" s="50">
        <f t="shared" si="3"/>
        <v>8.1131421611326332E-2</v>
      </c>
      <c r="FE14" s="50">
        <f t="shared" si="4"/>
        <v>0.70930286758301042</v>
      </c>
      <c r="FF14" s="29">
        <v>10</v>
      </c>
      <c r="FG14" s="29">
        <f t="shared" si="0"/>
        <v>0.62831853071795862</v>
      </c>
      <c r="FH14" s="29">
        <f t="shared" si="5"/>
        <v>0.47633557568774193</v>
      </c>
      <c r="FI14" s="29">
        <f t="shared" si="6"/>
        <v>0.54270509831248415</v>
      </c>
      <c r="FJ14" s="50"/>
      <c r="FL14" s="29">
        <f t="shared" si="7"/>
        <v>0</v>
      </c>
      <c r="FM14" s="29">
        <f t="shared" si="8"/>
        <v>0</v>
      </c>
      <c r="FP14" s="29">
        <f t="shared" si="9"/>
        <v>0</v>
      </c>
      <c r="FQ14" s="29">
        <f t="shared" si="10"/>
        <v>0</v>
      </c>
      <c r="FT14" s="29">
        <f t="shared" si="24"/>
        <v>0.5</v>
      </c>
      <c r="FU14" s="29">
        <f t="shared" si="25"/>
        <v>8.450000000000002E-2</v>
      </c>
      <c r="FV14" t="str">
        <f>ROUNDUP(MAX(FM5:FM104),2)&amp;"m"</f>
        <v>0.84m</v>
      </c>
      <c r="FW14" s="29">
        <v>-0.1</v>
      </c>
      <c r="FX14" s="29">
        <f>FX9-((FX9-FX8)/2)</f>
        <v>0.5</v>
      </c>
      <c r="GB14" s="51">
        <f t="shared" si="28"/>
        <v>0.39572782014981556</v>
      </c>
      <c r="GC14" s="51">
        <f t="shared" si="29"/>
        <v>0.11929435217735614</v>
      </c>
      <c r="GE14" s="51">
        <v>135</v>
      </c>
      <c r="GF14" s="52">
        <f t="shared" si="11"/>
        <v>9.1272849312742155E-2</v>
      </c>
      <c r="GG14" s="52">
        <f t="shared" si="12"/>
        <v>0.70930286758301042</v>
      </c>
      <c r="GH14" s="51">
        <v>135</v>
      </c>
      <c r="GI14" s="52">
        <f t="shared" si="13"/>
        <v>8.1131421611326332E-2</v>
      </c>
      <c r="GJ14" s="52">
        <f t="shared" si="14"/>
        <v>0.70930286758301042</v>
      </c>
      <c r="GK14" s="51">
        <v>10</v>
      </c>
      <c r="GL14" s="51">
        <f t="shared" si="15"/>
        <v>0.62831853071795862</v>
      </c>
      <c r="GM14" s="51">
        <f t="shared" si="16"/>
        <v>0.47633557568774193</v>
      </c>
      <c r="GN14" s="51">
        <f t="shared" si="17"/>
        <v>0.54270509831248415</v>
      </c>
      <c r="GO14" s="52"/>
      <c r="GQ14" s="51">
        <f t="shared" si="18"/>
        <v>0</v>
      </c>
      <c r="GR14" s="51">
        <f t="shared" si="19"/>
        <v>0</v>
      </c>
      <c r="GU14" s="51">
        <f t="shared" si="20"/>
        <v>0</v>
      </c>
      <c r="GV14" s="51">
        <f t="shared" si="21"/>
        <v>0</v>
      </c>
      <c r="GY14" s="51">
        <f t="shared" si="26"/>
        <v>0.5</v>
      </c>
      <c r="GZ14" s="51">
        <f t="shared" si="27"/>
        <v>8.450000000000002E-2</v>
      </c>
      <c r="HA14" s="51" t="str">
        <f>ROUNDUP(MAX(GR5:GR104),2)&amp;"m"</f>
        <v>0.84m</v>
      </c>
      <c r="HB14" s="51">
        <v>-0.1</v>
      </c>
      <c r="HC14" s="51">
        <f>HC9-((HC9-HC8)/2)</f>
        <v>0.5</v>
      </c>
    </row>
    <row r="15" spans="2:211">
      <c r="B15" s="9"/>
      <c r="C15" s="10"/>
      <c r="D15" s="10"/>
      <c r="E15" s="10"/>
      <c r="F15" s="11"/>
      <c r="G15" s="12"/>
      <c r="H15" s="135" t="s">
        <v>42</v>
      </c>
      <c r="I15" s="136"/>
      <c r="J15" s="136"/>
      <c r="K15" s="136"/>
      <c r="L15" s="136"/>
      <c r="M15" s="136"/>
      <c r="N15" s="137"/>
      <c r="O15" s="12"/>
      <c r="P15" s="12"/>
      <c r="Q15" s="12"/>
      <c r="R15" s="12"/>
      <c r="S15" s="12"/>
      <c r="T15" s="12"/>
      <c r="U15" s="12"/>
      <c r="V15" s="12"/>
      <c r="W15" s="12"/>
      <c r="X15" s="12"/>
      <c r="Y15" s="10"/>
      <c r="Z15" s="10"/>
      <c r="AA15" s="10"/>
      <c r="AB15" s="10"/>
      <c r="AC15" s="10"/>
      <c r="AD15" s="10"/>
      <c r="AE15" s="13"/>
      <c r="AF15" s="14"/>
      <c r="AG15" s="10"/>
      <c r="AH15" s="10"/>
      <c r="AI15" s="10"/>
      <c r="AJ15" s="15"/>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M15" s="50">
        <v>225</v>
      </c>
      <c r="CN15" s="29">
        <v>0.22500000000000001</v>
      </c>
      <c r="CO15" s="50">
        <v>3.9800000000000002E-2</v>
      </c>
      <c r="CQ15" s="29">
        <v>0.252</v>
      </c>
      <c r="CR15" s="29">
        <v>0.22500000000000001</v>
      </c>
      <c r="CS15" s="29">
        <v>0.18</v>
      </c>
      <c r="CT15" s="29">
        <v>0.23</v>
      </c>
      <c r="CU15" s="29">
        <v>0.26500000000000001</v>
      </c>
      <c r="CV15" s="29">
        <v>0.20499999999999999</v>
      </c>
      <c r="CW15" s="29">
        <v>0.185</v>
      </c>
      <c r="CX15" s="29">
        <v>0.20499999999999999</v>
      </c>
      <c r="CY15" s="51"/>
      <c r="CZ15" s="51"/>
      <c r="DA15" s="51"/>
      <c r="DN15" s="51"/>
      <c r="DO15" s="51"/>
      <c r="DS15" s="51"/>
      <c r="DY15" s="50"/>
      <c r="ED15" s="27" t="s">
        <v>40</v>
      </c>
      <c r="EG15" s="26"/>
      <c r="EH15" s="26">
        <v>500</v>
      </c>
      <c r="EI15" s="26">
        <v>225</v>
      </c>
      <c r="EJ15" s="26">
        <v>171.9</v>
      </c>
      <c r="EK15" s="26">
        <v>139.80000000000001</v>
      </c>
      <c r="EL15" s="26">
        <v>92.9</v>
      </c>
      <c r="EM15" s="26">
        <v>71.2</v>
      </c>
      <c r="EN15" s="26">
        <v>58.4</v>
      </c>
      <c r="EO15" s="26">
        <v>35.200000000000003</v>
      </c>
      <c r="EP15" s="26">
        <v>20.5</v>
      </c>
      <c r="EQ15" s="26">
        <v>12</v>
      </c>
      <c r="EU15" s="51"/>
      <c r="EV15" s="51"/>
      <c r="EW15" s="29">
        <f t="shared" si="22"/>
        <v>0.3898027127791126</v>
      </c>
      <c r="EX15" s="29">
        <f t="shared" si="23"/>
        <v>0.10766567420536861</v>
      </c>
      <c r="EY15" s="29"/>
      <c r="EZ15" s="29">
        <v>150</v>
      </c>
      <c r="FA15" s="50">
        <f t="shared" si="1"/>
        <v>4.1749833545674297E-2</v>
      </c>
      <c r="FB15" s="50">
        <f t="shared" si="2"/>
        <v>0.62324999999999997</v>
      </c>
      <c r="FC15" s="29">
        <v>150</v>
      </c>
      <c r="FD15" s="50">
        <f t="shared" si="3"/>
        <v>3.7110963151710474E-2</v>
      </c>
      <c r="FE15" s="50">
        <f t="shared" si="4"/>
        <v>0.62324999999999997</v>
      </c>
      <c r="FF15" s="29">
        <v>11</v>
      </c>
      <c r="FG15" s="29">
        <f t="shared" si="0"/>
        <v>0.69115038378975446</v>
      </c>
      <c r="FH15" s="29">
        <f t="shared" si="5"/>
        <v>0.49122719692460687</v>
      </c>
      <c r="FI15" s="29">
        <f t="shared" si="6"/>
        <v>0.5311539728327368</v>
      </c>
      <c r="FJ15" s="50"/>
      <c r="FL15" s="29">
        <f t="shared" si="7"/>
        <v>0</v>
      </c>
      <c r="FM15" s="29">
        <f t="shared" si="8"/>
        <v>0</v>
      </c>
      <c r="FP15" s="29">
        <f t="shared" si="9"/>
        <v>0</v>
      </c>
      <c r="FQ15" s="29">
        <f t="shared" si="10"/>
        <v>0</v>
      </c>
      <c r="FT15" s="29">
        <f t="shared" si="24"/>
        <v>0.5</v>
      </c>
      <c r="FU15" s="29">
        <f t="shared" si="25"/>
        <v>8.450000000000002E-2</v>
      </c>
      <c r="GB15" s="51">
        <f t="shared" si="28"/>
        <v>0.3898027127791126</v>
      </c>
      <c r="GC15" s="51">
        <f t="shared" si="29"/>
        <v>0.10766567420536861</v>
      </c>
      <c r="GE15" s="51">
        <v>150</v>
      </c>
      <c r="GF15" s="52">
        <f t="shared" si="11"/>
        <v>4.1749833545674297E-2</v>
      </c>
      <c r="GG15" s="52">
        <f t="shared" si="12"/>
        <v>0.62324999999999997</v>
      </c>
      <c r="GH15" s="51">
        <v>150</v>
      </c>
      <c r="GI15" s="52">
        <f t="shared" si="13"/>
        <v>3.7110963151710474E-2</v>
      </c>
      <c r="GJ15" s="52">
        <f t="shared" si="14"/>
        <v>0.62324999999999997</v>
      </c>
      <c r="GK15" s="51">
        <v>11</v>
      </c>
      <c r="GL15" s="51">
        <f t="shared" si="15"/>
        <v>0.69115038378975446</v>
      </c>
      <c r="GM15" s="51">
        <f t="shared" si="16"/>
        <v>0.49122719692460687</v>
      </c>
      <c r="GN15" s="51">
        <f t="shared" si="17"/>
        <v>0.5311539728327368</v>
      </c>
      <c r="GO15" s="52"/>
      <c r="GQ15" s="51">
        <f t="shared" si="18"/>
        <v>0</v>
      </c>
      <c r="GR15" s="51">
        <f t="shared" si="19"/>
        <v>0</v>
      </c>
      <c r="GU15" s="51">
        <f t="shared" si="20"/>
        <v>0</v>
      </c>
      <c r="GV15" s="51">
        <f t="shared" si="21"/>
        <v>0</v>
      </c>
      <c r="GY15" s="51">
        <f t="shared" si="26"/>
        <v>0.5</v>
      </c>
      <c r="GZ15" s="51">
        <f t="shared" si="27"/>
        <v>8.450000000000002E-2</v>
      </c>
    </row>
    <row r="16" spans="2:211">
      <c r="B16" s="9"/>
      <c r="C16" s="10"/>
      <c r="D16" s="10"/>
      <c r="E16" s="10"/>
      <c r="F16" s="11"/>
      <c r="G16" s="12"/>
      <c r="H16" s="10"/>
      <c r="I16" s="12"/>
      <c r="J16" s="12"/>
      <c r="K16" s="12"/>
      <c r="L16" s="12"/>
      <c r="M16" s="12"/>
      <c r="N16" s="12"/>
      <c r="O16" s="12"/>
      <c r="P16" s="12"/>
      <c r="Q16" s="12"/>
      <c r="R16" s="12"/>
      <c r="S16" s="12"/>
      <c r="T16" s="12"/>
      <c r="U16" s="12"/>
      <c r="V16" s="12"/>
      <c r="W16" s="12"/>
      <c r="X16" s="12"/>
      <c r="Y16" s="10"/>
      <c r="Z16" s="10"/>
      <c r="AA16" s="10"/>
      <c r="AB16" s="10"/>
      <c r="AC16" s="10"/>
      <c r="AD16" s="10"/>
      <c r="AE16" s="13"/>
      <c r="AF16" s="14"/>
      <c r="AG16" s="10"/>
      <c r="AH16" s="10"/>
      <c r="AI16" s="10"/>
      <c r="AJ16" s="15"/>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29" t="s">
        <v>78</v>
      </c>
      <c r="CM16" s="50">
        <v>350</v>
      </c>
      <c r="CN16" s="29">
        <v>0.35</v>
      </c>
      <c r="CO16" s="50">
        <v>9.6210000000000004E-2</v>
      </c>
      <c r="CQ16" s="29">
        <v>0.33800000000000002</v>
      </c>
      <c r="CR16" s="29">
        <v>0.35</v>
      </c>
      <c r="CS16" s="29">
        <v>0.23</v>
      </c>
      <c r="CT16" s="29">
        <v>0.28000000000000003</v>
      </c>
      <c r="CU16" s="29">
        <v>0.28999999999999998</v>
      </c>
      <c r="CV16" s="29">
        <v>0.27500000000000002</v>
      </c>
      <c r="CW16" s="29">
        <v>0.23499999999999999</v>
      </c>
      <c r="CX16" s="29">
        <v>0.27500000000000002</v>
      </c>
      <c r="CY16" s="51"/>
      <c r="CZ16" s="51"/>
      <c r="DA16" s="51"/>
      <c r="DN16" s="51"/>
      <c r="DO16" s="51"/>
      <c r="DS16" s="51"/>
      <c r="DY16" s="50"/>
      <c r="ED16" s="27" t="s">
        <v>41</v>
      </c>
      <c r="EG16" s="26"/>
      <c r="EH16" s="26">
        <v>1000</v>
      </c>
      <c r="EI16" s="26">
        <v>257.89999999999998</v>
      </c>
      <c r="EJ16" s="26">
        <v>199</v>
      </c>
      <c r="EK16" s="26">
        <v>162.5</v>
      </c>
      <c r="EL16" s="26">
        <v>108.4</v>
      </c>
      <c r="EM16" s="26">
        <v>83.3</v>
      </c>
      <c r="EN16" s="26">
        <v>68.400000000000006</v>
      </c>
      <c r="EO16" s="26">
        <v>41.2</v>
      </c>
      <c r="EP16" s="26">
        <v>23.8</v>
      </c>
      <c r="EQ16" s="26">
        <v>14</v>
      </c>
      <c r="EU16" s="29"/>
      <c r="EV16" s="29"/>
      <c r="EW16" s="29">
        <f t="shared" si="22"/>
        <v>0.38315912652304362</v>
      </c>
      <c r="EX16" s="29">
        <f t="shared" si="23"/>
        <v>9.6431983343113398E-2</v>
      </c>
      <c r="EY16" s="29"/>
      <c r="EZ16" s="29">
        <v>165</v>
      </c>
      <c r="FA16" s="50">
        <f t="shared" si="1"/>
        <v>1.061836438266911E-2</v>
      </c>
      <c r="FB16" s="50">
        <f t="shared" si="2"/>
        <v>0.52303931324009745</v>
      </c>
      <c r="FC16" s="29">
        <v>165</v>
      </c>
      <c r="FD16" s="50">
        <f t="shared" si="3"/>
        <v>9.4385461179281038E-3</v>
      </c>
      <c r="FE16" s="50">
        <f t="shared" si="4"/>
        <v>0.52303931324009745</v>
      </c>
      <c r="FF16" s="29">
        <v>12</v>
      </c>
      <c r="FG16" s="29">
        <f t="shared" si="0"/>
        <v>0.7539822368615503</v>
      </c>
      <c r="FH16" s="29">
        <f t="shared" si="5"/>
        <v>0.50536413177860662</v>
      </c>
      <c r="FI16" s="29">
        <f t="shared" si="6"/>
        <v>0.51869058822642344</v>
      </c>
      <c r="FJ16" s="50"/>
      <c r="FL16" s="29">
        <f t="shared" si="7"/>
        <v>0</v>
      </c>
      <c r="FM16" s="29">
        <f t="shared" si="8"/>
        <v>0</v>
      </c>
      <c r="FP16" s="29">
        <f t="shared" si="9"/>
        <v>0</v>
      </c>
      <c r="FQ16" s="29">
        <f t="shared" si="10"/>
        <v>0</v>
      </c>
      <c r="FT16" s="29">
        <f t="shared" si="24"/>
        <v>0.5</v>
      </c>
      <c r="FU16" s="29">
        <f t="shared" si="25"/>
        <v>8.450000000000002E-2</v>
      </c>
      <c r="GB16" s="51">
        <f t="shared" si="28"/>
        <v>0.38315912652304362</v>
      </c>
      <c r="GC16" s="51">
        <f t="shared" si="29"/>
        <v>9.6431983343113398E-2</v>
      </c>
      <c r="GE16" s="51">
        <v>165</v>
      </c>
      <c r="GF16" s="52">
        <f t="shared" si="11"/>
        <v>1.061836438266911E-2</v>
      </c>
      <c r="GG16" s="52">
        <f t="shared" si="12"/>
        <v>0.52303931324009745</v>
      </c>
      <c r="GH16" s="51">
        <v>165</v>
      </c>
      <c r="GI16" s="52">
        <f t="shared" si="13"/>
        <v>9.4385461179281038E-3</v>
      </c>
      <c r="GJ16" s="52">
        <f t="shared" si="14"/>
        <v>0.52303931324009745</v>
      </c>
      <c r="GK16" s="51">
        <v>12</v>
      </c>
      <c r="GL16" s="51">
        <f t="shared" si="15"/>
        <v>0.7539822368615503</v>
      </c>
      <c r="GM16" s="51">
        <f t="shared" si="16"/>
        <v>0.50536413177860662</v>
      </c>
      <c r="GN16" s="51">
        <f t="shared" si="17"/>
        <v>0.51869058822642344</v>
      </c>
      <c r="GO16" s="52"/>
      <c r="GQ16" s="51">
        <f t="shared" si="18"/>
        <v>0</v>
      </c>
      <c r="GR16" s="51">
        <f t="shared" si="19"/>
        <v>0</v>
      </c>
      <c r="GU16" s="51">
        <f t="shared" si="20"/>
        <v>0</v>
      </c>
      <c r="GV16" s="51">
        <f t="shared" si="21"/>
        <v>0</v>
      </c>
      <c r="GY16" s="51">
        <f t="shared" si="26"/>
        <v>0.5</v>
      </c>
      <c r="GZ16" s="51">
        <f t="shared" si="27"/>
        <v>8.450000000000002E-2</v>
      </c>
    </row>
    <row r="17" spans="2:208">
      <c r="B17" s="9"/>
      <c r="C17" s="10"/>
      <c r="D17" s="10"/>
      <c r="E17" s="10"/>
      <c r="F17" s="11"/>
      <c r="G17" s="12"/>
      <c r="H17" s="10"/>
      <c r="I17" s="12"/>
      <c r="J17" s="12"/>
      <c r="K17" s="12"/>
      <c r="L17" s="12"/>
      <c r="M17" s="12"/>
      <c r="N17" s="12"/>
      <c r="O17" s="12"/>
      <c r="P17" s="12"/>
      <c r="Q17" s="12"/>
      <c r="R17" s="12"/>
      <c r="S17" s="12"/>
      <c r="T17" s="12"/>
      <c r="U17" s="12"/>
      <c r="V17" s="12"/>
      <c r="W17" s="12"/>
      <c r="X17" s="12"/>
      <c r="Y17" s="10"/>
      <c r="Z17" s="10"/>
      <c r="AA17" s="10"/>
      <c r="AB17" s="10"/>
      <c r="AC17" s="10"/>
      <c r="AD17" s="10"/>
      <c r="AE17" s="13"/>
      <c r="AF17" s="14"/>
      <c r="AG17" s="10"/>
      <c r="AH17" s="10"/>
      <c r="AI17" s="10"/>
      <c r="AJ17" s="15"/>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I17" s="53" t="s">
        <v>79</v>
      </c>
      <c r="CJ17" s="29">
        <f>(2.66*CJ$12^1.25)*((6.74*(CJ$5/100)^0.7)+0.4+(CJ$6/CJ$11)*CJ$7)*1000</f>
        <v>316.60701623373797</v>
      </c>
      <c r="CK17" s="29" t="s">
        <v>2</v>
      </c>
      <c r="CM17" s="50">
        <v>550</v>
      </c>
      <c r="CN17" s="29">
        <v>0.55000000000000004</v>
      </c>
      <c r="CO17" s="50">
        <v>0.2001</v>
      </c>
      <c r="CQ17" s="29">
        <v>0.45200000000000001</v>
      </c>
      <c r="CR17" s="29">
        <v>0.55000000000000004</v>
      </c>
      <c r="CS17" s="29">
        <v>0.28000000000000003</v>
      </c>
      <c r="CT17" s="29">
        <v>0.33</v>
      </c>
      <c r="CU17" s="29">
        <v>0.315</v>
      </c>
      <c r="CV17" s="29">
        <v>0.55500000000000005</v>
      </c>
      <c r="CW17" s="29">
        <v>0.28499999999999998</v>
      </c>
      <c r="CX17" s="29">
        <v>0.55500000000000005</v>
      </c>
      <c r="DY17" s="50"/>
      <c r="EG17" s="26"/>
      <c r="EH17" s="26"/>
      <c r="EI17" s="26"/>
      <c r="EJ17" s="26"/>
      <c r="EK17" s="26"/>
      <c r="EL17" s="26"/>
      <c r="EM17" s="26"/>
      <c r="EN17" s="26"/>
      <c r="EO17" s="26"/>
      <c r="EP17" s="26"/>
      <c r="EQ17" s="26"/>
      <c r="EU17" s="29"/>
      <c r="EV17" s="29"/>
      <c r="EW17" s="29">
        <f t="shared" si="22"/>
        <v>0.3758232805813953</v>
      </c>
      <c r="EX17" s="29">
        <f t="shared" si="23"/>
        <v>8.5637613836238718E-2</v>
      </c>
      <c r="EY17" s="29"/>
      <c r="EZ17" s="29">
        <v>180</v>
      </c>
      <c r="FA17" s="50">
        <f t="shared" si="1"/>
        <v>0</v>
      </c>
      <c r="FB17" s="50">
        <f t="shared" si="2"/>
        <v>0.41550000000000004</v>
      </c>
      <c r="FC17" s="29">
        <v>180</v>
      </c>
      <c r="FD17" s="50">
        <f t="shared" si="3"/>
        <v>0</v>
      </c>
      <c r="FE17" s="50">
        <f t="shared" si="4"/>
        <v>0.41550000000000004</v>
      </c>
      <c r="FF17" s="29">
        <v>13</v>
      </c>
      <c r="FG17" s="29">
        <f t="shared" si="0"/>
        <v>0.81681408993334625</v>
      </c>
      <c r="FH17" s="29">
        <f t="shared" si="5"/>
        <v>0.51869058822642344</v>
      </c>
      <c r="FI17" s="29">
        <f t="shared" si="6"/>
        <v>0.50536413177860662</v>
      </c>
      <c r="FJ17" s="50"/>
      <c r="FL17" s="29">
        <f t="shared" si="7"/>
        <v>0</v>
      </c>
      <c r="FM17" s="29">
        <f t="shared" si="8"/>
        <v>0</v>
      </c>
      <c r="FP17" s="29">
        <f t="shared" si="9"/>
        <v>0</v>
      </c>
      <c r="FQ17" s="29">
        <f t="shared" si="10"/>
        <v>0</v>
      </c>
      <c r="FT17" s="29">
        <f t="shared" si="24"/>
        <v>0.5</v>
      </c>
      <c r="FU17" s="29">
        <f t="shared" si="25"/>
        <v>8.450000000000002E-2</v>
      </c>
      <c r="GB17" s="51">
        <f t="shared" si="28"/>
        <v>0.3758232805813953</v>
      </c>
      <c r="GC17" s="51">
        <f t="shared" si="29"/>
        <v>8.5637613836238718E-2</v>
      </c>
      <c r="GE17" s="51">
        <v>180</v>
      </c>
      <c r="GF17" s="52">
        <f t="shared" si="11"/>
        <v>0</v>
      </c>
      <c r="GG17" s="52">
        <f t="shared" si="12"/>
        <v>0.41550000000000004</v>
      </c>
      <c r="GH17" s="51">
        <v>180</v>
      </c>
      <c r="GI17" s="52">
        <f t="shared" si="13"/>
        <v>0</v>
      </c>
      <c r="GJ17" s="52">
        <f t="shared" si="14"/>
        <v>0.41550000000000004</v>
      </c>
      <c r="GK17" s="51">
        <v>13</v>
      </c>
      <c r="GL17" s="51">
        <f t="shared" si="15"/>
        <v>0.81681408993334625</v>
      </c>
      <c r="GM17" s="51">
        <f t="shared" si="16"/>
        <v>0.51869058822642344</v>
      </c>
      <c r="GN17" s="51">
        <f t="shared" si="17"/>
        <v>0.50536413177860662</v>
      </c>
      <c r="GO17" s="52"/>
      <c r="GQ17" s="51">
        <f t="shared" si="18"/>
        <v>0</v>
      </c>
      <c r="GR17" s="51">
        <f t="shared" si="19"/>
        <v>0</v>
      </c>
      <c r="GU17" s="51">
        <f t="shared" si="20"/>
        <v>0</v>
      </c>
      <c r="GV17" s="51">
        <f t="shared" si="21"/>
        <v>0</v>
      </c>
      <c r="GY17" s="51">
        <f t="shared" si="26"/>
        <v>0.5</v>
      </c>
      <c r="GZ17" s="51">
        <f t="shared" si="27"/>
        <v>8.450000000000002E-2</v>
      </c>
    </row>
    <row r="18" spans="2:208">
      <c r="B18" s="9"/>
      <c r="C18" s="10"/>
      <c r="D18" s="10"/>
      <c r="E18" s="10"/>
      <c r="F18" s="11"/>
      <c r="G18" s="12"/>
      <c r="H18" s="10"/>
      <c r="I18" s="12"/>
      <c r="J18" s="12"/>
      <c r="K18" s="12"/>
      <c r="L18" s="12"/>
      <c r="M18" s="12"/>
      <c r="N18" s="12"/>
      <c r="O18" s="12"/>
      <c r="P18" s="12"/>
      <c r="Q18" s="12"/>
      <c r="R18" s="12"/>
      <c r="S18" s="12"/>
      <c r="T18" s="12"/>
      <c r="U18" s="12"/>
      <c r="V18" s="12"/>
      <c r="W18" s="12"/>
      <c r="X18" s="12"/>
      <c r="Y18" s="10"/>
      <c r="Z18" s="10"/>
      <c r="AA18" s="10"/>
      <c r="AB18" s="10"/>
      <c r="AC18" s="10"/>
      <c r="AD18" s="10"/>
      <c r="AE18" s="13"/>
      <c r="AF18" s="14"/>
      <c r="AG18" s="10"/>
      <c r="AH18" s="10"/>
      <c r="AI18" s="10"/>
      <c r="AJ18" s="15"/>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I18" s="53" t="str">
        <f>IF(CJ17&gt;CJ14,"Channel Capacity OK","Channel Inadequate, Choose a Larger Channel, Reduce Area or Consider Stepped Channel")</f>
        <v>Channel Capacity OK</v>
      </c>
      <c r="CM18" s="50">
        <v>700</v>
      </c>
      <c r="CN18" s="29">
        <v>0.7</v>
      </c>
      <c r="CO18" s="50">
        <v>0.32550000000000001</v>
      </c>
      <c r="CQ18" s="29">
        <v>0.56799999999999995</v>
      </c>
      <c r="CR18" s="29">
        <v>0.7</v>
      </c>
      <c r="CS18" s="29">
        <v>0.33</v>
      </c>
      <c r="CT18" s="29">
        <v>0.38</v>
      </c>
      <c r="CU18" s="50" t="s">
        <v>72</v>
      </c>
      <c r="CV18" s="50" t="s">
        <v>72</v>
      </c>
      <c r="CW18" s="50" t="s">
        <v>72</v>
      </c>
      <c r="CX18" s="50" t="s">
        <v>72</v>
      </c>
      <c r="DY18" s="50"/>
      <c r="EG18" s="26"/>
      <c r="EH18" s="26"/>
      <c r="EI18" s="26"/>
      <c r="EJ18" s="26"/>
      <c r="EK18" s="26"/>
      <c r="EL18" s="26"/>
      <c r="EM18" s="26"/>
      <c r="EN18" s="26"/>
      <c r="EO18" s="26"/>
      <c r="EP18" s="26"/>
      <c r="EQ18" s="26"/>
      <c r="EU18" s="29"/>
      <c r="EV18" s="29"/>
      <c r="EW18" s="29">
        <f t="shared" si="22"/>
        <v>0.36782412618667021</v>
      </c>
      <c r="EX18" s="29">
        <f t="shared" si="23"/>
        <v>7.5325166129709714E-2</v>
      </c>
      <c r="EY18" s="29"/>
      <c r="EZ18" s="29">
        <v>195</v>
      </c>
      <c r="FA18" s="50">
        <f t="shared" si="1"/>
        <v>1.0618364382669054E-2</v>
      </c>
      <c r="FB18" s="50">
        <f t="shared" si="2"/>
        <v>0.30796068675990279</v>
      </c>
      <c r="FC18" s="29">
        <v>195</v>
      </c>
      <c r="FD18" s="50">
        <f t="shared" si="3"/>
        <v>9.4385461179280483E-3</v>
      </c>
      <c r="FE18" s="50">
        <f t="shared" si="4"/>
        <v>0.30796068675990279</v>
      </c>
      <c r="FF18" s="29">
        <v>14</v>
      </c>
      <c r="FG18" s="29">
        <f t="shared" si="0"/>
        <v>0.87964594300514221</v>
      </c>
      <c r="FH18" s="29">
        <f t="shared" si="5"/>
        <v>0.5311539728327368</v>
      </c>
      <c r="FI18" s="29">
        <f t="shared" si="6"/>
        <v>0.49122719692460687</v>
      </c>
      <c r="FJ18" s="50"/>
      <c r="FL18" s="29">
        <f t="shared" si="7"/>
        <v>0</v>
      </c>
      <c r="FM18" s="29">
        <f t="shared" si="8"/>
        <v>0</v>
      </c>
      <c r="FP18" s="29">
        <f t="shared" si="9"/>
        <v>0</v>
      </c>
      <c r="FQ18" s="29">
        <f t="shared" si="10"/>
        <v>0</v>
      </c>
      <c r="FT18" s="29">
        <f t="shared" si="24"/>
        <v>0.5</v>
      </c>
      <c r="FU18" s="29">
        <f t="shared" si="25"/>
        <v>8.450000000000002E-2</v>
      </c>
      <c r="GB18" s="51">
        <f t="shared" si="28"/>
        <v>0.36782412618667021</v>
      </c>
      <c r="GC18" s="51">
        <f t="shared" si="29"/>
        <v>7.5325166129709714E-2</v>
      </c>
      <c r="GE18" s="51">
        <v>195</v>
      </c>
      <c r="GF18" s="52">
        <f t="shared" si="11"/>
        <v>1.0618364382669054E-2</v>
      </c>
      <c r="GG18" s="52">
        <f t="shared" si="12"/>
        <v>0.30796068675990279</v>
      </c>
      <c r="GH18" s="51">
        <v>195</v>
      </c>
      <c r="GI18" s="52">
        <f t="shared" si="13"/>
        <v>9.4385461179280483E-3</v>
      </c>
      <c r="GJ18" s="52">
        <f t="shared" si="14"/>
        <v>0.30796068675990279</v>
      </c>
      <c r="GK18" s="51">
        <v>14</v>
      </c>
      <c r="GL18" s="51">
        <f t="shared" si="15"/>
        <v>0.87964594300514221</v>
      </c>
      <c r="GM18" s="51">
        <f t="shared" si="16"/>
        <v>0.5311539728327368</v>
      </c>
      <c r="GN18" s="51">
        <f t="shared" si="17"/>
        <v>0.49122719692460687</v>
      </c>
      <c r="GO18" s="52"/>
      <c r="GQ18" s="51">
        <f t="shared" si="18"/>
        <v>0</v>
      </c>
      <c r="GR18" s="51">
        <f t="shared" si="19"/>
        <v>0</v>
      </c>
      <c r="GU18" s="51">
        <f t="shared" si="20"/>
        <v>0</v>
      </c>
      <c r="GV18" s="51">
        <f t="shared" si="21"/>
        <v>0</v>
      </c>
      <c r="GY18" s="51">
        <f t="shared" si="26"/>
        <v>0.5</v>
      </c>
      <c r="GZ18" s="51">
        <f t="shared" si="27"/>
        <v>8.450000000000002E-2</v>
      </c>
    </row>
    <row r="19" spans="2:208">
      <c r="B19" s="9"/>
      <c r="C19" s="10"/>
      <c r="D19" s="10"/>
      <c r="E19" s="10"/>
      <c r="F19" s="11"/>
      <c r="G19" s="12"/>
      <c r="H19" s="10"/>
      <c r="I19" s="12"/>
      <c r="J19" s="12"/>
      <c r="K19" s="12"/>
      <c r="L19" s="12"/>
      <c r="M19" s="12"/>
      <c r="N19" s="12"/>
      <c r="O19" s="12"/>
      <c r="P19" s="12"/>
      <c r="Q19" s="12"/>
      <c r="R19" s="12"/>
      <c r="S19" s="12"/>
      <c r="T19" s="12"/>
      <c r="U19" s="12"/>
      <c r="V19" s="12"/>
      <c r="W19" s="12"/>
      <c r="X19" s="12"/>
      <c r="Y19" s="10"/>
      <c r="Z19" s="10"/>
      <c r="AA19" s="10"/>
      <c r="AB19" s="10"/>
      <c r="AC19" s="10"/>
      <c r="AD19" s="10"/>
      <c r="AE19" s="13"/>
      <c r="AF19" s="14"/>
      <c r="AG19" s="10"/>
      <c r="AH19" s="10"/>
      <c r="AI19" s="10"/>
      <c r="AJ19" s="15"/>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M19" s="50">
        <v>900</v>
      </c>
      <c r="CN19" s="50">
        <v>0.9</v>
      </c>
      <c r="CO19" s="50">
        <v>0.40500000000000003</v>
      </c>
      <c r="CQ19" s="29">
        <v>0.83099999999999996</v>
      </c>
      <c r="CR19" s="50">
        <v>0.9</v>
      </c>
      <c r="CS19" s="50" t="s">
        <v>72</v>
      </c>
      <c r="CT19" s="50" t="s">
        <v>72</v>
      </c>
      <c r="CU19" s="50" t="s">
        <v>72</v>
      </c>
      <c r="CV19" s="50" t="s">
        <v>72</v>
      </c>
      <c r="CW19" s="50" t="s">
        <v>72</v>
      </c>
      <c r="CX19" s="50" t="s">
        <v>72</v>
      </c>
      <c r="DY19" s="50"/>
      <c r="EG19" s="26" t="s">
        <v>36</v>
      </c>
      <c r="EH19" s="26" t="s">
        <v>16</v>
      </c>
      <c r="EI19" s="26" t="s">
        <v>37</v>
      </c>
      <c r="EJ19" s="26"/>
      <c r="EK19" s="26"/>
      <c r="EL19" s="26"/>
      <c r="EM19" s="26"/>
      <c r="EN19" s="26"/>
      <c r="EO19" s="26"/>
      <c r="EP19" s="26"/>
      <c r="EQ19" s="26"/>
      <c r="EU19" s="29"/>
      <c r="EV19" s="29"/>
      <c r="EW19" s="29">
        <f t="shared" si="22"/>
        <v>0.35919323234679823</v>
      </c>
      <c r="EX19" s="29">
        <f t="shared" si="23"/>
        <v>6.5535338743314908E-2</v>
      </c>
      <c r="EY19" s="29"/>
      <c r="EZ19" s="29">
        <v>210</v>
      </c>
      <c r="FA19" s="50">
        <f t="shared" si="1"/>
        <v>4.1749833545674297E-2</v>
      </c>
      <c r="FB19" s="50">
        <f t="shared" si="2"/>
        <v>0.20774999999999993</v>
      </c>
      <c r="FC19" s="29">
        <v>210</v>
      </c>
      <c r="FD19" s="50">
        <f t="shared" si="3"/>
        <v>3.7110963151710502E-2</v>
      </c>
      <c r="FE19" s="50">
        <f t="shared" si="4"/>
        <v>0.20774999999999993</v>
      </c>
      <c r="FF19" s="29">
        <v>15</v>
      </c>
      <c r="FG19" s="29">
        <f t="shared" si="0"/>
        <v>0.94247779607693793</v>
      </c>
      <c r="FH19" s="29">
        <f t="shared" si="5"/>
        <v>0.54270509831248415</v>
      </c>
      <c r="FI19" s="29">
        <f t="shared" si="6"/>
        <v>0.47633557568774193</v>
      </c>
      <c r="FJ19" s="50"/>
      <c r="FL19" s="29">
        <f t="shared" si="7"/>
        <v>0</v>
      </c>
      <c r="FM19" s="29">
        <f t="shared" si="8"/>
        <v>0</v>
      </c>
      <c r="FP19" s="29">
        <f t="shared" si="9"/>
        <v>0</v>
      </c>
      <c r="FQ19" s="29">
        <f t="shared" si="10"/>
        <v>0</v>
      </c>
      <c r="FT19" s="29">
        <f t="shared" si="24"/>
        <v>0.5</v>
      </c>
      <c r="FU19" s="29">
        <f t="shared" si="25"/>
        <v>8.450000000000002E-2</v>
      </c>
      <c r="GB19" s="51">
        <f t="shared" si="28"/>
        <v>0.35919323234679823</v>
      </c>
      <c r="GC19" s="51">
        <f t="shared" si="29"/>
        <v>6.5535338743314908E-2</v>
      </c>
      <c r="GE19" s="51">
        <v>210</v>
      </c>
      <c r="GF19" s="52">
        <f t="shared" si="11"/>
        <v>4.1749833545674297E-2</v>
      </c>
      <c r="GG19" s="52">
        <f t="shared" si="12"/>
        <v>0.20774999999999993</v>
      </c>
      <c r="GH19" s="51">
        <v>210</v>
      </c>
      <c r="GI19" s="52">
        <f t="shared" si="13"/>
        <v>3.7110963151710502E-2</v>
      </c>
      <c r="GJ19" s="52">
        <f t="shared" si="14"/>
        <v>0.20774999999999993</v>
      </c>
      <c r="GK19" s="51">
        <v>15</v>
      </c>
      <c r="GL19" s="51">
        <f t="shared" si="15"/>
        <v>0.94247779607693793</v>
      </c>
      <c r="GM19" s="51">
        <f t="shared" si="16"/>
        <v>0.54270509831248415</v>
      </c>
      <c r="GN19" s="51">
        <f t="shared" si="17"/>
        <v>0.47633557568774193</v>
      </c>
      <c r="GO19" s="52"/>
      <c r="GQ19" s="51">
        <f t="shared" si="18"/>
        <v>0</v>
      </c>
      <c r="GR19" s="51">
        <f t="shared" si="19"/>
        <v>0</v>
      </c>
      <c r="GU19" s="51">
        <f t="shared" si="20"/>
        <v>0</v>
      </c>
      <c r="GV19" s="51">
        <f t="shared" si="21"/>
        <v>0</v>
      </c>
      <c r="GY19" s="51">
        <f t="shared" si="26"/>
        <v>0.5</v>
      </c>
      <c r="GZ19" s="51">
        <f t="shared" si="27"/>
        <v>8.450000000000002E-2</v>
      </c>
    </row>
    <row r="20" spans="2:208">
      <c r="B20" s="9"/>
      <c r="C20" s="10"/>
      <c r="D20" s="10"/>
      <c r="E20" s="10"/>
      <c r="F20" s="11"/>
      <c r="G20" s="12"/>
      <c r="H20" s="10"/>
      <c r="I20" s="12"/>
      <c r="J20" s="12"/>
      <c r="K20" s="12"/>
      <c r="L20" s="12"/>
      <c r="M20" s="12"/>
      <c r="N20" s="12"/>
      <c r="O20" s="12"/>
      <c r="P20" s="12"/>
      <c r="Q20" s="12"/>
      <c r="R20" s="12"/>
      <c r="S20" s="12"/>
      <c r="T20" s="12"/>
      <c r="U20" s="12"/>
      <c r="V20" s="12"/>
      <c r="W20" s="12"/>
      <c r="X20" s="12"/>
      <c r="Y20" s="10"/>
      <c r="Z20" s="10"/>
      <c r="AA20" s="10"/>
      <c r="AB20" s="10"/>
      <c r="AC20" s="10"/>
      <c r="AD20" s="10"/>
      <c r="AE20" s="13"/>
      <c r="AF20" s="14"/>
      <c r="AG20" s="10"/>
      <c r="AH20" s="10"/>
      <c r="AI20" s="10"/>
      <c r="AJ20" s="15"/>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29" t="s">
        <v>80</v>
      </c>
      <c r="DY20" s="50"/>
      <c r="ED20" s="29">
        <f>MATCH(Y11,EH5:EH16)+1</f>
        <v>5</v>
      </c>
      <c r="EE20" s="29"/>
      <c r="EG20" s="26"/>
      <c r="EH20" s="26"/>
      <c r="EI20" s="26">
        <v>5</v>
      </c>
      <c r="EJ20" s="26">
        <v>10</v>
      </c>
      <c r="EK20" s="26">
        <v>15</v>
      </c>
      <c r="EL20" s="26">
        <v>30</v>
      </c>
      <c r="EM20" s="26">
        <v>45</v>
      </c>
      <c r="EN20" s="26">
        <v>60</v>
      </c>
      <c r="EO20" s="26">
        <v>120</v>
      </c>
      <c r="EP20" s="26">
        <v>240</v>
      </c>
      <c r="EQ20" s="26">
        <v>480</v>
      </c>
      <c r="EU20" s="29"/>
      <c r="EV20" s="29"/>
      <c r="EW20" s="29">
        <f t="shared" si="22"/>
        <v>0.34996466125668513</v>
      </c>
      <c r="EX20" s="29">
        <f t="shared" si="23"/>
        <v>5.6306767653201806E-2</v>
      </c>
      <c r="EY20" s="29"/>
      <c r="EZ20" s="29">
        <v>225</v>
      </c>
      <c r="FA20" s="50">
        <f t="shared" si="1"/>
        <v>9.1272849312742071E-2</v>
      </c>
      <c r="FB20" s="50">
        <f t="shared" si="2"/>
        <v>0.12169713241698954</v>
      </c>
      <c r="FC20" s="29">
        <v>225</v>
      </c>
      <c r="FD20" s="50">
        <f t="shared" si="3"/>
        <v>8.1131421611326276E-2</v>
      </c>
      <c r="FE20" s="50">
        <f t="shared" si="4"/>
        <v>0.12169713241698954</v>
      </c>
      <c r="FF20" s="29">
        <v>16</v>
      </c>
      <c r="FG20" s="29">
        <f t="shared" si="0"/>
        <v>1.0053096491487339</v>
      </c>
      <c r="FH20" s="29">
        <f t="shared" si="5"/>
        <v>0.55329837765060452</v>
      </c>
      <c r="FI20" s="29">
        <f t="shared" si="6"/>
        <v>0.46074803849369894</v>
      </c>
      <c r="FJ20" s="50"/>
      <c r="FL20" s="29">
        <f t="shared" si="7"/>
        <v>0</v>
      </c>
      <c r="FM20" s="29">
        <f t="shared" si="8"/>
        <v>0</v>
      </c>
      <c r="FP20" s="29">
        <f t="shared" si="9"/>
        <v>0</v>
      </c>
      <c r="FQ20" s="29">
        <f t="shared" si="10"/>
        <v>0</v>
      </c>
      <c r="FT20" s="29">
        <f t="shared" si="24"/>
        <v>0.5</v>
      </c>
      <c r="FU20" s="29">
        <f t="shared" si="25"/>
        <v>8.450000000000002E-2</v>
      </c>
      <c r="GB20" s="51">
        <f t="shared" si="28"/>
        <v>0.34996466125668513</v>
      </c>
      <c r="GC20" s="51">
        <f t="shared" si="29"/>
        <v>5.6306767653201806E-2</v>
      </c>
      <c r="GE20" s="51">
        <v>225</v>
      </c>
      <c r="GF20" s="52">
        <f t="shared" si="11"/>
        <v>9.1272849312742071E-2</v>
      </c>
      <c r="GG20" s="52">
        <f t="shared" si="12"/>
        <v>0.12169713241698954</v>
      </c>
      <c r="GH20" s="51">
        <v>225</v>
      </c>
      <c r="GI20" s="52">
        <f t="shared" si="13"/>
        <v>8.1131421611326276E-2</v>
      </c>
      <c r="GJ20" s="52">
        <f t="shared" si="14"/>
        <v>0.12169713241698954</v>
      </c>
      <c r="GK20" s="51">
        <v>16</v>
      </c>
      <c r="GL20" s="51">
        <f t="shared" si="15"/>
        <v>1.0053096491487339</v>
      </c>
      <c r="GM20" s="51">
        <f t="shared" si="16"/>
        <v>0.55329837765060452</v>
      </c>
      <c r="GN20" s="51">
        <f t="shared" si="17"/>
        <v>0.46074803849369894</v>
      </c>
      <c r="GO20" s="52"/>
      <c r="GQ20" s="51">
        <f t="shared" si="18"/>
        <v>0</v>
      </c>
      <c r="GR20" s="51">
        <f t="shared" si="19"/>
        <v>0</v>
      </c>
      <c r="GU20" s="51">
        <f t="shared" si="20"/>
        <v>0</v>
      </c>
      <c r="GV20" s="51">
        <f t="shared" si="21"/>
        <v>0</v>
      </c>
      <c r="GY20" s="51">
        <f t="shared" si="26"/>
        <v>0.5</v>
      </c>
      <c r="GZ20" s="51">
        <f t="shared" si="27"/>
        <v>8.450000000000002E-2</v>
      </c>
    </row>
    <row r="21" spans="2:208">
      <c r="B21" s="9"/>
      <c r="C21" s="10"/>
      <c r="D21" s="10"/>
      <c r="E21" s="10"/>
      <c r="F21" s="11"/>
      <c r="G21" s="12"/>
      <c r="H21" s="10"/>
      <c r="I21" s="12"/>
      <c r="J21" s="12"/>
      <c r="K21" s="12"/>
      <c r="L21" s="12"/>
      <c r="M21" s="12"/>
      <c r="N21" s="12"/>
      <c r="O21" s="12"/>
      <c r="P21" s="12"/>
      <c r="Q21" s="12"/>
      <c r="R21" s="12"/>
      <c r="S21" s="12"/>
      <c r="T21" s="12"/>
      <c r="U21" s="12"/>
      <c r="V21" s="12"/>
      <c r="W21" s="12"/>
      <c r="X21" s="12"/>
      <c r="Y21" s="10"/>
      <c r="Z21" s="10"/>
      <c r="AA21" s="10"/>
      <c r="AB21" s="10"/>
      <c r="AC21" s="10"/>
      <c r="AD21" s="10"/>
      <c r="AE21" s="13"/>
      <c r="AF21" s="14"/>
      <c r="AG21" s="10"/>
      <c r="AH21" s="10"/>
      <c r="AI21" s="10"/>
      <c r="AJ21" s="15"/>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I21" s="53" t="s">
        <v>81</v>
      </c>
      <c r="CJ21" s="56">
        <f>CL11-HLOOKUP(M116,CQ13:CX19,2,FALSE)</f>
        <v>0.66499999999999992</v>
      </c>
      <c r="CK21" s="29" t="s">
        <v>71</v>
      </c>
      <c r="CM21" s="29" t="s">
        <v>82</v>
      </c>
      <c r="CQ21" s="50" t="s">
        <v>55</v>
      </c>
      <c r="CR21" s="50" t="s">
        <v>58</v>
      </c>
      <c r="CS21" s="50" t="s">
        <v>59</v>
      </c>
      <c r="CT21" s="50" t="s">
        <v>60</v>
      </c>
      <c r="CU21" s="50" t="s">
        <v>61</v>
      </c>
      <c r="CV21" s="50" t="s">
        <v>62</v>
      </c>
      <c r="CW21" s="50" t="s">
        <v>63</v>
      </c>
      <c r="CX21" s="50" t="s">
        <v>64</v>
      </c>
      <c r="DY21" s="50"/>
      <c r="ED21" s="29"/>
      <c r="EE21" s="29"/>
      <c r="EG21" s="26" t="s">
        <v>38</v>
      </c>
      <c r="EH21" s="26">
        <v>1</v>
      </c>
      <c r="EI21" s="26">
        <v>47.9</v>
      </c>
      <c r="EJ21" s="26">
        <v>33.200000000000003</v>
      </c>
      <c r="EK21" s="26">
        <v>26.2</v>
      </c>
      <c r="EL21" s="26">
        <v>16.8</v>
      </c>
      <c r="EM21" s="26">
        <v>12.8</v>
      </c>
      <c r="EN21" s="26">
        <v>10.6</v>
      </c>
      <c r="EO21" s="26">
        <v>6.5</v>
      </c>
      <c r="EP21" s="26">
        <v>4</v>
      </c>
      <c r="EQ21" s="26">
        <v>2</v>
      </c>
      <c r="EU21" s="29"/>
      <c r="EV21" s="29"/>
      <c r="EW21" s="29">
        <f t="shared" si="22"/>
        <v>0.34017483387029029</v>
      </c>
      <c r="EX21" s="29">
        <f t="shared" si="23"/>
        <v>4.76758738133298E-2</v>
      </c>
      <c r="EY21" s="29"/>
      <c r="EZ21" s="29">
        <v>240</v>
      </c>
      <c r="FA21" s="50">
        <f t="shared" si="1"/>
        <v>0.15581249999999985</v>
      </c>
      <c r="FB21" s="50">
        <f t="shared" si="2"/>
        <v>5.5666444727565878E-2</v>
      </c>
      <c r="FC21" s="29">
        <v>240</v>
      </c>
      <c r="FD21" s="50">
        <f t="shared" si="3"/>
        <v>0.13849999999999987</v>
      </c>
      <c r="FE21" s="50">
        <f t="shared" si="4"/>
        <v>5.5666444727565878E-2</v>
      </c>
      <c r="FF21" s="29">
        <v>17</v>
      </c>
      <c r="FG21" s="29">
        <f t="shared" si="0"/>
        <v>1.0681415022205298</v>
      </c>
      <c r="FH21" s="29">
        <f t="shared" si="5"/>
        <v>0.56289200401315909</v>
      </c>
      <c r="FI21" s="29">
        <f t="shared" si="6"/>
        <v>0.44452610223051453</v>
      </c>
      <c r="FJ21" s="50"/>
      <c r="FL21" s="29">
        <f t="shared" si="7"/>
        <v>0</v>
      </c>
      <c r="FM21" s="29">
        <f t="shared" si="8"/>
        <v>0</v>
      </c>
      <c r="FP21" s="29">
        <f t="shared" si="9"/>
        <v>0</v>
      </c>
      <c r="FQ21" s="29">
        <f t="shared" si="10"/>
        <v>0</v>
      </c>
      <c r="FT21" s="29">
        <f t="shared" si="24"/>
        <v>0.5</v>
      </c>
      <c r="FU21" s="29">
        <f t="shared" si="25"/>
        <v>8.450000000000002E-2</v>
      </c>
      <c r="GB21" s="51">
        <f t="shared" si="28"/>
        <v>0.34017483387029029</v>
      </c>
      <c r="GC21" s="51">
        <f t="shared" si="29"/>
        <v>4.76758738133298E-2</v>
      </c>
      <c r="GE21" s="51">
        <v>240</v>
      </c>
      <c r="GF21" s="52">
        <f t="shared" si="11"/>
        <v>0.15581249999999985</v>
      </c>
      <c r="GG21" s="52">
        <f t="shared" si="12"/>
        <v>5.5666444727565878E-2</v>
      </c>
      <c r="GH21" s="51">
        <v>240</v>
      </c>
      <c r="GI21" s="52">
        <f t="shared" si="13"/>
        <v>0.13849999999999987</v>
      </c>
      <c r="GJ21" s="52">
        <f t="shared" si="14"/>
        <v>5.5666444727565878E-2</v>
      </c>
      <c r="GK21" s="51">
        <v>17</v>
      </c>
      <c r="GL21" s="51">
        <f t="shared" si="15"/>
        <v>1.0681415022205298</v>
      </c>
      <c r="GM21" s="51">
        <f t="shared" si="16"/>
        <v>0.56289200401315909</v>
      </c>
      <c r="GN21" s="51">
        <f t="shared" si="17"/>
        <v>0.44452610223051453</v>
      </c>
      <c r="GO21" s="52"/>
      <c r="GQ21" s="51">
        <f t="shared" si="18"/>
        <v>0</v>
      </c>
      <c r="GR21" s="51">
        <f t="shared" si="19"/>
        <v>0</v>
      </c>
      <c r="GU21" s="51">
        <f t="shared" si="20"/>
        <v>0</v>
      </c>
      <c r="GV21" s="51">
        <f t="shared" si="21"/>
        <v>0</v>
      </c>
      <c r="GY21" s="51">
        <f t="shared" si="26"/>
        <v>0.5</v>
      </c>
      <c r="GZ21" s="51">
        <f t="shared" si="27"/>
        <v>8.450000000000002E-2</v>
      </c>
    </row>
    <row r="22" spans="2:208">
      <c r="B22" s="9"/>
      <c r="C22" s="10"/>
      <c r="D22" s="10"/>
      <c r="E22" s="10"/>
      <c r="F22" s="11"/>
      <c r="G22" s="12"/>
      <c r="H22" s="10"/>
      <c r="I22" s="10"/>
      <c r="J22" s="10"/>
      <c r="K22" s="10"/>
      <c r="L22" s="10"/>
      <c r="M22" s="10"/>
      <c r="N22" s="10"/>
      <c r="O22" s="10"/>
      <c r="P22" s="10"/>
      <c r="Q22" s="10"/>
      <c r="R22" s="10"/>
      <c r="S22" s="10"/>
      <c r="T22" s="10"/>
      <c r="U22" s="10"/>
      <c r="V22" s="10"/>
      <c r="W22" s="10"/>
      <c r="X22" s="10"/>
      <c r="Y22" s="10"/>
      <c r="Z22" s="10"/>
      <c r="AA22" s="10"/>
      <c r="AB22" s="10"/>
      <c r="AC22" s="10"/>
      <c r="AD22" s="10"/>
      <c r="AE22" s="13"/>
      <c r="AF22" s="14"/>
      <c r="AG22" s="10"/>
      <c r="AH22" s="10"/>
      <c r="AI22" s="10"/>
      <c r="AJ22" s="15"/>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I22" s="53" t="s">
        <v>83</v>
      </c>
      <c r="CJ22" s="56">
        <f>CJ21/P113*100+P112</f>
        <v>1.665</v>
      </c>
      <c r="CK22" s="29" t="s">
        <v>0</v>
      </c>
      <c r="CM22" s="29">
        <v>130</v>
      </c>
      <c r="CN22" s="29">
        <v>0.13</v>
      </c>
      <c r="CO22" s="29">
        <f t="shared" ref="CO22:CO26" si="30">CS22</f>
        <v>1.0700000000000001E-2</v>
      </c>
      <c r="CQ22" s="29">
        <v>1.9372E-2</v>
      </c>
      <c r="CR22" s="50">
        <v>1.7670000000000002E-2</v>
      </c>
      <c r="CS22" s="50">
        <f>(CS14*0.1)-0.0023</f>
        <v>1.0700000000000001E-2</v>
      </c>
      <c r="CT22" s="50">
        <f>(CT14*0.15)-0.002414</f>
        <v>2.4586E-2</v>
      </c>
      <c r="CU22" s="50">
        <f>(CU14*0.2)-0.00275</f>
        <v>4.5249999999999999E-2</v>
      </c>
      <c r="CV22" s="50">
        <f>(CV14*0.43)-0.003</f>
        <v>5.5050000000000002E-2</v>
      </c>
      <c r="CW22" s="50">
        <f>CW14*0.15*0.9</f>
        <v>1.8225000000000002E-2</v>
      </c>
      <c r="CX22" s="50">
        <f>CX14*0.28*0.9</f>
        <v>3.4020000000000009E-2</v>
      </c>
      <c r="DY22" s="50"/>
      <c r="ED22" s="29"/>
      <c r="EE22" s="29" t="str">
        <f>VLOOKUP(Y10,ED6:EE13,2,FALSE)</f>
        <v>ghi</v>
      </c>
      <c r="EG22" s="26">
        <v>17</v>
      </c>
      <c r="EH22" s="26">
        <v>2</v>
      </c>
      <c r="EI22" s="26">
        <v>58.4</v>
      </c>
      <c r="EJ22" s="26">
        <v>42.1</v>
      </c>
      <c r="EK22" s="26">
        <v>33.6</v>
      </c>
      <c r="EL22" s="26">
        <v>21.8</v>
      </c>
      <c r="EM22" s="26">
        <v>16.600000000000001</v>
      </c>
      <c r="EN22" s="26">
        <v>13.6</v>
      </c>
      <c r="EO22" s="26">
        <v>8.3000000000000007</v>
      </c>
      <c r="EP22" s="26">
        <v>5</v>
      </c>
      <c r="EQ22" s="26">
        <v>3</v>
      </c>
      <c r="EU22" s="29"/>
      <c r="EV22" s="29"/>
      <c r="EW22" s="29">
        <f t="shared" si="22"/>
        <v>0.32986238616376129</v>
      </c>
      <c r="EX22" s="29">
        <f t="shared" si="23"/>
        <v>3.9676719418604678E-2</v>
      </c>
      <c r="EY22" s="29"/>
      <c r="EZ22" s="29">
        <v>255</v>
      </c>
      <c r="FA22" s="50">
        <f t="shared" si="1"/>
        <v>0.230970515069927</v>
      </c>
      <c r="FB22" s="50">
        <f t="shared" si="2"/>
        <v>1.4157819176892128E-2</v>
      </c>
      <c r="FC22" s="29">
        <v>255</v>
      </c>
      <c r="FD22" s="50">
        <f t="shared" si="3"/>
        <v>0.20530712450660177</v>
      </c>
      <c r="FE22" s="50">
        <f t="shared" si="4"/>
        <v>1.4157819176892128E-2</v>
      </c>
      <c r="FF22" s="29">
        <v>18</v>
      </c>
      <c r="FG22" s="29">
        <f t="shared" si="0"/>
        <v>1.1309733552923256</v>
      </c>
      <c r="FH22" s="29">
        <f t="shared" si="5"/>
        <v>0.57144811573980592</v>
      </c>
      <c r="FI22" s="29">
        <f t="shared" si="6"/>
        <v>0.42773378746952179</v>
      </c>
      <c r="FJ22" s="50"/>
      <c r="FL22" s="29">
        <f t="shared" si="7"/>
        <v>0</v>
      </c>
      <c r="FM22" s="29">
        <f t="shared" si="8"/>
        <v>0</v>
      </c>
      <c r="FP22" s="29">
        <f t="shared" si="9"/>
        <v>0</v>
      </c>
      <c r="FQ22" s="29">
        <f t="shared" si="10"/>
        <v>0</v>
      </c>
      <c r="FT22" s="29">
        <f t="shared" si="24"/>
        <v>0.5</v>
      </c>
      <c r="FU22" s="29">
        <f t="shared" si="25"/>
        <v>8.450000000000002E-2</v>
      </c>
      <c r="GB22" s="51">
        <f t="shared" si="28"/>
        <v>0.32986238616376129</v>
      </c>
      <c r="GC22" s="51">
        <f t="shared" si="29"/>
        <v>3.9676719418604678E-2</v>
      </c>
      <c r="GE22" s="51">
        <v>255</v>
      </c>
      <c r="GF22" s="52">
        <f t="shared" si="11"/>
        <v>0.230970515069927</v>
      </c>
      <c r="GG22" s="52">
        <f t="shared" si="12"/>
        <v>1.4157819176892128E-2</v>
      </c>
      <c r="GH22" s="51">
        <v>255</v>
      </c>
      <c r="GI22" s="52">
        <f t="shared" si="13"/>
        <v>0.20530712450660177</v>
      </c>
      <c r="GJ22" s="52">
        <f t="shared" si="14"/>
        <v>1.4157819176892128E-2</v>
      </c>
      <c r="GK22" s="51">
        <v>18</v>
      </c>
      <c r="GL22" s="51">
        <f t="shared" si="15"/>
        <v>1.1309733552923256</v>
      </c>
      <c r="GM22" s="51">
        <f t="shared" si="16"/>
        <v>0.57144811573980592</v>
      </c>
      <c r="GN22" s="51">
        <f t="shared" si="17"/>
        <v>0.42773378746952179</v>
      </c>
      <c r="GO22" s="52"/>
      <c r="GQ22" s="51">
        <f t="shared" si="18"/>
        <v>0</v>
      </c>
      <c r="GR22" s="51">
        <f t="shared" si="19"/>
        <v>0</v>
      </c>
      <c r="GU22" s="51">
        <f t="shared" si="20"/>
        <v>0</v>
      </c>
      <c r="GV22" s="51">
        <f t="shared" si="21"/>
        <v>0</v>
      </c>
      <c r="GY22" s="51">
        <f t="shared" si="26"/>
        <v>0.5</v>
      </c>
      <c r="GZ22" s="51">
        <f t="shared" si="27"/>
        <v>8.450000000000002E-2</v>
      </c>
    </row>
    <row r="23" spans="2:208">
      <c r="B23" s="9"/>
      <c r="C23" s="10"/>
      <c r="D23" s="10"/>
      <c r="E23" s="10"/>
      <c r="F23" s="11"/>
      <c r="G23" s="12"/>
      <c r="H23" s="10"/>
      <c r="I23" s="10"/>
      <c r="J23" s="10"/>
      <c r="K23" s="10"/>
      <c r="L23" s="10"/>
      <c r="M23" s="10"/>
      <c r="N23" s="10"/>
      <c r="O23" s="10"/>
      <c r="P23" s="10"/>
      <c r="Q23" s="10"/>
      <c r="R23" s="10"/>
      <c r="S23" s="10"/>
      <c r="T23" s="10"/>
      <c r="U23" s="10"/>
      <c r="V23" s="10"/>
      <c r="W23" s="10"/>
      <c r="X23" s="10"/>
      <c r="Y23" s="10"/>
      <c r="Z23" s="10"/>
      <c r="AA23" s="10"/>
      <c r="AB23" s="10"/>
      <c r="AC23" s="10"/>
      <c r="AD23" s="10"/>
      <c r="AE23" s="13"/>
      <c r="AF23" s="14"/>
      <c r="AG23" s="10"/>
      <c r="AH23" s="10"/>
      <c r="AI23" s="10"/>
      <c r="AJ23" s="15"/>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29" t="s">
        <v>67</v>
      </c>
      <c r="CI23" s="53" t="s">
        <v>84</v>
      </c>
      <c r="CJ23" s="56">
        <f>IF(CJ22&lt;=0.5,0.132*(CJ22/100)-0.00022,0.00044)</f>
        <v>4.4000000000000002E-4</v>
      </c>
      <c r="CM23" s="29">
        <v>180</v>
      </c>
      <c r="CN23" s="29">
        <v>0.18</v>
      </c>
      <c r="CO23" s="29">
        <f t="shared" si="30"/>
        <v>1.5699999999999999E-2</v>
      </c>
      <c r="CQ23" s="29">
        <v>4.3763000000000003E-2</v>
      </c>
      <c r="CR23" s="50">
        <v>3.9800000000000002E-2</v>
      </c>
      <c r="CS23" s="50">
        <f t="shared" ref="CS23:CS26" si="31">(CS15*0.1)-0.0023</f>
        <v>1.5699999999999999E-2</v>
      </c>
      <c r="CT23" s="50">
        <f>(CT15*0.15)-0.002414</f>
        <v>3.2086000000000003E-2</v>
      </c>
      <c r="CU23" s="50">
        <f t="shared" ref="CU23:CU25" si="32">(CU15*0.2)-0.00275</f>
        <v>5.0250000000000003E-2</v>
      </c>
      <c r="CV23" s="50">
        <f t="shared" ref="CV23:CV25" si="33">(CV15*0.43)-0.003</f>
        <v>8.514999999999999E-2</v>
      </c>
      <c r="CW23" s="50">
        <f t="shared" ref="CW23:CW25" si="34">CW15*0.15*0.9</f>
        <v>2.4975000000000001E-2</v>
      </c>
      <c r="CX23" s="50">
        <f t="shared" ref="CX23:CX25" si="35">CX15*0.28*0.9</f>
        <v>5.1659999999999998E-2</v>
      </c>
      <c r="DY23" s="50"/>
      <c r="EG23" s="26" t="s">
        <v>39</v>
      </c>
      <c r="EH23" s="26">
        <v>5</v>
      </c>
      <c r="EI23" s="26">
        <v>77.2</v>
      </c>
      <c r="EJ23" s="26">
        <v>55.2</v>
      </c>
      <c r="EK23" s="26">
        <v>43.8</v>
      </c>
      <c r="EL23" s="26">
        <v>28.2</v>
      </c>
      <c r="EM23" s="26">
        <v>21.3</v>
      </c>
      <c r="EN23" s="26">
        <v>17.399999999999999</v>
      </c>
      <c r="EO23" s="26">
        <v>10.5</v>
      </c>
      <c r="EP23" s="26">
        <v>6.3</v>
      </c>
      <c r="EQ23" s="26">
        <v>4</v>
      </c>
      <c r="EU23" s="29"/>
      <c r="EV23" s="29"/>
      <c r="EW23" s="29">
        <f t="shared" si="22"/>
        <v>0.31906801665688661</v>
      </c>
      <c r="EX23" s="29">
        <f t="shared" si="23"/>
        <v>3.2340873476956411E-2</v>
      </c>
      <c r="EY23" s="29"/>
      <c r="EZ23" s="29">
        <v>270</v>
      </c>
      <c r="FA23" s="50">
        <f t="shared" si="1"/>
        <v>0.31162499999999993</v>
      </c>
      <c r="FB23" s="50">
        <f t="shared" si="2"/>
        <v>0</v>
      </c>
      <c r="FC23" s="29">
        <v>270</v>
      </c>
      <c r="FD23" s="50">
        <f t="shared" si="3"/>
        <v>0.27699999999999991</v>
      </c>
      <c r="FE23" s="50">
        <f t="shared" si="4"/>
        <v>0</v>
      </c>
      <c r="FF23" s="29">
        <v>19</v>
      </c>
      <c r="FG23" s="29">
        <f t="shared" si="0"/>
        <v>1.1938052083641213</v>
      </c>
      <c r="FH23" s="29">
        <f t="shared" si="5"/>
        <v>0.57893294576647536</v>
      </c>
      <c r="FI23" s="29">
        <f t="shared" si="6"/>
        <v>0.41043736580540341</v>
      </c>
      <c r="FJ23" s="50"/>
      <c r="FL23" s="29">
        <f t="shared" si="7"/>
        <v>0</v>
      </c>
      <c r="FM23" s="29">
        <f t="shared" si="8"/>
        <v>0</v>
      </c>
      <c r="FP23" s="29">
        <f t="shared" si="9"/>
        <v>0</v>
      </c>
      <c r="FQ23" s="29">
        <f t="shared" si="10"/>
        <v>0</v>
      </c>
      <c r="FT23" s="29">
        <f t="shared" si="24"/>
        <v>0.5</v>
      </c>
      <c r="FU23" s="29">
        <f t="shared" si="25"/>
        <v>8.450000000000002E-2</v>
      </c>
      <c r="GB23" s="51">
        <f t="shared" si="28"/>
        <v>0.31906801665688661</v>
      </c>
      <c r="GC23" s="51">
        <f t="shared" si="29"/>
        <v>3.2340873476956411E-2</v>
      </c>
      <c r="GE23" s="51">
        <v>270</v>
      </c>
      <c r="GF23" s="52">
        <f t="shared" si="11"/>
        <v>0.31162499999999993</v>
      </c>
      <c r="GG23" s="52">
        <f t="shared" si="12"/>
        <v>0</v>
      </c>
      <c r="GH23" s="51">
        <v>270</v>
      </c>
      <c r="GI23" s="52">
        <f t="shared" si="13"/>
        <v>0.27699999999999991</v>
      </c>
      <c r="GJ23" s="52">
        <f t="shared" si="14"/>
        <v>0</v>
      </c>
      <c r="GK23" s="51">
        <v>19</v>
      </c>
      <c r="GL23" s="51">
        <f t="shared" si="15"/>
        <v>1.1938052083641213</v>
      </c>
      <c r="GM23" s="51">
        <f t="shared" si="16"/>
        <v>0.57893294576647536</v>
      </c>
      <c r="GN23" s="51">
        <f t="shared" si="17"/>
        <v>0.41043736580540341</v>
      </c>
      <c r="GO23" s="52"/>
      <c r="GQ23" s="51">
        <f t="shared" si="18"/>
        <v>0</v>
      </c>
      <c r="GR23" s="51">
        <f t="shared" si="19"/>
        <v>0</v>
      </c>
      <c r="GU23" s="51">
        <f t="shared" si="20"/>
        <v>0</v>
      </c>
      <c r="GV23" s="51">
        <f t="shared" si="21"/>
        <v>0</v>
      </c>
      <c r="GY23" s="51">
        <f t="shared" si="26"/>
        <v>0.5</v>
      </c>
      <c r="GZ23" s="51">
        <f t="shared" si="27"/>
        <v>8.450000000000002E-2</v>
      </c>
    </row>
    <row r="24" spans="2:208">
      <c r="B24" s="9"/>
      <c r="C24" s="10"/>
      <c r="D24" s="10"/>
      <c r="E24" s="10"/>
      <c r="F24" s="11"/>
      <c r="G24" s="12"/>
      <c r="H24" s="10"/>
      <c r="I24" s="10"/>
      <c r="J24" s="10"/>
      <c r="K24" s="10"/>
      <c r="L24" s="10"/>
      <c r="M24" s="10"/>
      <c r="N24" s="10"/>
      <c r="O24" s="10"/>
      <c r="P24" s="10"/>
      <c r="Q24" s="10"/>
      <c r="R24" s="10"/>
      <c r="S24" s="10"/>
      <c r="T24" s="10"/>
      <c r="U24" s="10"/>
      <c r="V24" s="10"/>
      <c r="W24" s="10"/>
      <c r="X24" s="10"/>
      <c r="Y24" s="10"/>
      <c r="Z24" s="10"/>
      <c r="AA24" s="10"/>
      <c r="AB24" s="10"/>
      <c r="AC24" s="10"/>
      <c r="AD24" s="10"/>
      <c r="AE24" s="13"/>
      <c r="AF24" s="14"/>
      <c r="AG24" s="10"/>
      <c r="AH24" s="10"/>
      <c r="AI24" s="10"/>
      <c r="AJ24" s="15"/>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I24" s="53" t="s">
        <v>85</v>
      </c>
      <c r="CJ24" s="29">
        <f>(2.66*CJ$12^1.25)*((6.74*(CJ$22/100)^0.7)+0.4+(CJ$6/CJ$11)*CJ$23)*1000</f>
        <v>708.90162499984058</v>
      </c>
      <c r="CK24" s="29" t="s">
        <v>2</v>
      </c>
      <c r="CM24" s="29">
        <v>230</v>
      </c>
      <c r="CN24" s="29">
        <v>0.23</v>
      </c>
      <c r="CO24" s="29">
        <f t="shared" si="30"/>
        <v>2.0700000000000003E-2</v>
      </c>
      <c r="CQ24" s="29">
        <v>7.7676999999999996E-2</v>
      </c>
      <c r="CR24" s="50">
        <v>9.6210000000000004E-2</v>
      </c>
      <c r="CS24" s="50">
        <f t="shared" si="31"/>
        <v>2.0700000000000003E-2</v>
      </c>
      <c r="CT24" s="50">
        <f t="shared" ref="CT24:CT26" si="36">(CT16*0.15)-0.002414</f>
        <v>3.9586000000000003E-2</v>
      </c>
      <c r="CU24" s="50">
        <f t="shared" si="32"/>
        <v>5.5249999999999994E-2</v>
      </c>
      <c r="CV24" s="50">
        <f t="shared" si="33"/>
        <v>0.11525000000000001</v>
      </c>
      <c r="CW24" s="50">
        <f t="shared" si="34"/>
        <v>3.1724999999999996E-2</v>
      </c>
      <c r="CX24" s="50">
        <f t="shared" si="35"/>
        <v>6.9300000000000014E-2</v>
      </c>
      <c r="DY24" s="50"/>
      <c r="EG24" s="26">
        <v>0.4</v>
      </c>
      <c r="EH24" s="26">
        <v>10</v>
      </c>
      <c r="EI24" s="26">
        <v>88.2</v>
      </c>
      <c r="EJ24" s="26">
        <v>63.6</v>
      </c>
      <c r="EK24" s="26">
        <v>50.7</v>
      </c>
      <c r="EL24" s="26">
        <v>32.799999999999997</v>
      </c>
      <c r="EM24" s="26">
        <v>24.9</v>
      </c>
      <c r="EN24" s="26">
        <v>20.399999999999999</v>
      </c>
      <c r="EO24" s="26">
        <v>12.3</v>
      </c>
      <c r="EP24" s="26">
        <v>7.4</v>
      </c>
      <c r="EQ24" s="26">
        <v>4</v>
      </c>
      <c r="EU24" s="29"/>
      <c r="EV24" s="29"/>
      <c r="EW24" s="29">
        <f t="shared" si="22"/>
        <v>0.30783432579463144</v>
      </c>
      <c r="EX24" s="29">
        <f t="shared" si="23"/>
        <v>2.5697287220887377E-2</v>
      </c>
      <c r="EY24" s="29"/>
      <c r="EZ24" s="29">
        <v>285</v>
      </c>
      <c r="FA24" s="50">
        <f t="shared" si="1"/>
        <v>0.39227948493007314</v>
      </c>
      <c r="FB24" s="50">
        <f t="shared" si="2"/>
        <v>1.4157819176892183E-2</v>
      </c>
      <c r="FC24" s="29">
        <v>285</v>
      </c>
      <c r="FD24" s="50">
        <f t="shared" si="3"/>
        <v>0.34869287549339834</v>
      </c>
      <c r="FE24" s="50">
        <f t="shared" si="4"/>
        <v>1.4157819176892183E-2</v>
      </c>
      <c r="FF24" s="29">
        <v>20</v>
      </c>
      <c r="FG24" s="29">
        <f t="shared" si="0"/>
        <v>1.2566370614359172</v>
      </c>
      <c r="FH24" s="29">
        <f t="shared" si="5"/>
        <v>0.58531695488854596</v>
      </c>
      <c r="FI24" s="29">
        <f t="shared" si="6"/>
        <v>0.39270509831248424</v>
      </c>
      <c r="FJ24" s="50"/>
      <c r="FL24" s="29">
        <f t="shared" si="7"/>
        <v>0</v>
      </c>
      <c r="FM24" s="29">
        <f t="shared" si="8"/>
        <v>0</v>
      </c>
      <c r="FP24" s="29">
        <f t="shared" si="9"/>
        <v>0</v>
      </c>
      <c r="FQ24" s="29">
        <f t="shared" si="10"/>
        <v>0</v>
      </c>
      <c r="FT24" s="29">
        <f t="shared" si="24"/>
        <v>0.5</v>
      </c>
      <c r="FU24" s="29">
        <f t="shared" si="25"/>
        <v>8.450000000000002E-2</v>
      </c>
      <c r="GB24" s="51">
        <f t="shared" si="28"/>
        <v>0.30783432579463144</v>
      </c>
      <c r="GC24" s="51">
        <f t="shared" si="29"/>
        <v>2.5697287220887377E-2</v>
      </c>
      <c r="GE24" s="51">
        <v>285</v>
      </c>
      <c r="GF24" s="52">
        <f t="shared" si="11"/>
        <v>0.39227948493007314</v>
      </c>
      <c r="GG24" s="52">
        <f t="shared" si="12"/>
        <v>1.4157819176892183E-2</v>
      </c>
      <c r="GH24" s="51">
        <v>285</v>
      </c>
      <c r="GI24" s="52">
        <f t="shared" si="13"/>
        <v>0.34869287549339834</v>
      </c>
      <c r="GJ24" s="52">
        <f t="shared" si="14"/>
        <v>1.4157819176892183E-2</v>
      </c>
      <c r="GK24" s="51">
        <v>20</v>
      </c>
      <c r="GL24" s="51">
        <f t="shared" si="15"/>
        <v>1.2566370614359172</v>
      </c>
      <c r="GM24" s="51">
        <f t="shared" si="16"/>
        <v>0.58531695488854596</v>
      </c>
      <c r="GN24" s="51">
        <f t="shared" si="17"/>
        <v>0.39270509831248424</v>
      </c>
      <c r="GO24" s="52"/>
      <c r="GQ24" s="51">
        <f t="shared" si="18"/>
        <v>0</v>
      </c>
      <c r="GR24" s="51">
        <f t="shared" si="19"/>
        <v>0</v>
      </c>
      <c r="GU24" s="51">
        <f t="shared" si="20"/>
        <v>0</v>
      </c>
      <c r="GV24" s="51">
        <f t="shared" si="21"/>
        <v>0</v>
      </c>
      <c r="GY24" s="51">
        <f t="shared" si="26"/>
        <v>0.5</v>
      </c>
      <c r="GZ24" s="51">
        <f t="shared" si="27"/>
        <v>8.450000000000002E-2</v>
      </c>
    </row>
    <row r="25" spans="2:208">
      <c r="B25" s="9"/>
      <c r="C25" s="10"/>
      <c r="D25" s="10"/>
      <c r="E25" s="10"/>
      <c r="F25" s="11"/>
      <c r="G25" s="12"/>
      <c r="H25" s="10"/>
      <c r="I25" s="10"/>
      <c r="J25" s="10"/>
      <c r="K25" s="10"/>
      <c r="L25" s="10"/>
      <c r="M25" s="10"/>
      <c r="N25" s="10"/>
      <c r="O25" s="10"/>
      <c r="P25" s="10"/>
      <c r="Q25" s="10"/>
      <c r="R25" s="10"/>
      <c r="S25" s="10"/>
      <c r="T25" s="10"/>
      <c r="U25" s="10"/>
      <c r="V25" s="10"/>
      <c r="W25" s="10"/>
      <c r="X25" s="10"/>
      <c r="Y25" s="10"/>
      <c r="Z25" s="10"/>
      <c r="AA25" s="10"/>
      <c r="AB25" s="10"/>
      <c r="AC25" s="10"/>
      <c r="AD25" s="10"/>
      <c r="AE25" s="13"/>
      <c r="AF25" s="14"/>
      <c r="AG25" s="10"/>
      <c r="AH25" s="10"/>
      <c r="AI25" s="10"/>
      <c r="AJ25" s="15"/>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I25" s="53" t="str">
        <f>IF(CJ24&gt;CJ14,"Channel Capacity OK","Channel Inadequate, Choose a Larger Channel or Reduce Area")</f>
        <v>Channel Capacity OK</v>
      </c>
      <c r="CM25" s="29">
        <v>280</v>
      </c>
      <c r="CN25" s="29">
        <v>0.28000000000000003</v>
      </c>
      <c r="CO25" s="29">
        <f t="shared" si="30"/>
        <v>2.5700000000000004E-2</v>
      </c>
      <c r="CQ25" s="29">
        <v>0.138296</v>
      </c>
      <c r="CR25" s="50">
        <v>0.2001</v>
      </c>
      <c r="CS25" s="50">
        <f t="shared" si="31"/>
        <v>2.5700000000000004E-2</v>
      </c>
      <c r="CT25" s="50">
        <f t="shared" si="36"/>
        <v>4.7086000000000003E-2</v>
      </c>
      <c r="CU25" s="50">
        <f t="shared" si="32"/>
        <v>6.0249999999999998E-2</v>
      </c>
      <c r="CV25" s="50">
        <f t="shared" si="33"/>
        <v>0.23565000000000003</v>
      </c>
      <c r="CW25" s="50">
        <f t="shared" si="34"/>
        <v>3.8474999999999995E-2</v>
      </c>
      <c r="CX25" s="50">
        <f t="shared" si="35"/>
        <v>0.13986000000000004</v>
      </c>
      <c r="DY25" s="50"/>
      <c r="EG25" s="26"/>
      <c r="EH25" s="26">
        <v>15</v>
      </c>
      <c r="EI25" s="26">
        <v>95.3</v>
      </c>
      <c r="EJ25" s="26">
        <v>69.099999999999994</v>
      </c>
      <c r="EK25" s="26">
        <v>55.3</v>
      </c>
      <c r="EL25" s="26">
        <v>35.799999999999997</v>
      </c>
      <c r="EM25" s="26">
        <v>27.3</v>
      </c>
      <c r="EN25" s="26">
        <v>22.3</v>
      </c>
      <c r="EO25" s="26">
        <v>13.5</v>
      </c>
      <c r="EP25" s="26">
        <v>8.1</v>
      </c>
      <c r="EQ25" s="26">
        <v>5</v>
      </c>
      <c r="EU25" s="29"/>
      <c r="EV25" s="29"/>
      <c r="EW25" s="29">
        <f t="shared" si="22"/>
        <v>0.29620564782264386</v>
      </c>
      <c r="EX25" s="29">
        <f t="shared" si="23"/>
        <v>1.9772179850184479E-2</v>
      </c>
      <c r="EY25" s="29"/>
      <c r="EZ25" s="29">
        <v>300</v>
      </c>
      <c r="FA25" s="50">
        <f t="shared" si="1"/>
        <v>0.46743750000000001</v>
      </c>
      <c r="FB25" s="50">
        <f t="shared" si="2"/>
        <v>5.5666444727565767E-2</v>
      </c>
      <c r="FC25" s="29">
        <v>300</v>
      </c>
      <c r="FD25" s="50">
        <f t="shared" si="3"/>
        <v>0.41549999999999998</v>
      </c>
      <c r="FE25" s="50">
        <f t="shared" si="4"/>
        <v>5.5666444727565767E-2</v>
      </c>
      <c r="FF25" s="29">
        <v>21</v>
      </c>
      <c r="FG25" s="29">
        <f t="shared" si="0"/>
        <v>1.319468914507713</v>
      </c>
      <c r="FH25" s="29">
        <f t="shared" si="5"/>
        <v>0.59057494833858937</v>
      </c>
      <c r="FI25" s="29">
        <f t="shared" si="6"/>
        <v>0.37460696614945649</v>
      </c>
      <c r="FJ25" s="50"/>
      <c r="FL25" s="29">
        <f t="shared" si="7"/>
        <v>0</v>
      </c>
      <c r="FM25" s="29">
        <f t="shared" si="8"/>
        <v>0</v>
      </c>
      <c r="FP25" s="29">
        <f t="shared" si="9"/>
        <v>0</v>
      </c>
      <c r="FQ25" s="29">
        <f t="shared" si="10"/>
        <v>0</v>
      </c>
      <c r="FT25" s="29">
        <f t="shared" si="24"/>
        <v>0.5</v>
      </c>
      <c r="FU25" s="29">
        <f t="shared" si="25"/>
        <v>8.450000000000002E-2</v>
      </c>
      <c r="GB25" s="51">
        <f t="shared" si="28"/>
        <v>0.29620564782264386</v>
      </c>
      <c r="GC25" s="51">
        <f t="shared" si="29"/>
        <v>1.9772179850184479E-2</v>
      </c>
      <c r="GE25" s="51">
        <v>300</v>
      </c>
      <c r="GF25" s="52">
        <f t="shared" si="11"/>
        <v>0.46743750000000001</v>
      </c>
      <c r="GG25" s="52">
        <f t="shared" si="12"/>
        <v>5.5666444727565767E-2</v>
      </c>
      <c r="GH25" s="51">
        <v>300</v>
      </c>
      <c r="GI25" s="52">
        <f t="shared" si="13"/>
        <v>0.41549999999999998</v>
      </c>
      <c r="GJ25" s="52">
        <f t="shared" si="14"/>
        <v>5.5666444727565767E-2</v>
      </c>
      <c r="GK25" s="51">
        <v>21</v>
      </c>
      <c r="GL25" s="51">
        <f t="shared" si="15"/>
        <v>1.319468914507713</v>
      </c>
      <c r="GM25" s="51">
        <f t="shared" si="16"/>
        <v>0.59057494833858937</v>
      </c>
      <c r="GN25" s="51">
        <f t="shared" si="17"/>
        <v>0.37460696614945649</v>
      </c>
      <c r="GO25" s="52"/>
      <c r="GQ25" s="51">
        <f t="shared" si="18"/>
        <v>0</v>
      </c>
      <c r="GR25" s="51">
        <f t="shared" si="19"/>
        <v>0</v>
      </c>
      <c r="GU25" s="51">
        <f t="shared" si="20"/>
        <v>0</v>
      </c>
      <c r="GV25" s="51">
        <f t="shared" si="21"/>
        <v>0</v>
      </c>
      <c r="GY25" s="51">
        <f t="shared" si="26"/>
        <v>0.5</v>
      </c>
      <c r="GZ25" s="51">
        <f t="shared" si="27"/>
        <v>8.450000000000002E-2</v>
      </c>
    </row>
    <row r="26" spans="2:208">
      <c r="B26" s="9"/>
      <c r="C26" s="10"/>
      <c r="D26" s="10"/>
      <c r="E26" s="10"/>
      <c r="F26" s="11"/>
      <c r="G26" s="12"/>
      <c r="H26" s="10"/>
      <c r="I26" s="10"/>
      <c r="J26" s="10"/>
      <c r="K26" s="10"/>
      <c r="L26" s="10"/>
      <c r="M26" s="10"/>
      <c r="N26" s="10"/>
      <c r="O26" s="10"/>
      <c r="P26" s="10"/>
      <c r="Q26" s="10"/>
      <c r="R26" s="10"/>
      <c r="S26" s="10"/>
      <c r="T26" s="10"/>
      <c r="U26" s="10"/>
      <c r="V26" s="13"/>
      <c r="W26" s="10"/>
      <c r="X26" s="10"/>
      <c r="Y26" s="10"/>
      <c r="Z26" s="10"/>
      <c r="AA26" s="10"/>
      <c r="AB26" s="10"/>
      <c r="AC26" s="10"/>
      <c r="AD26" s="10"/>
      <c r="AE26" s="13"/>
      <c r="AF26" s="14"/>
      <c r="AG26" s="10"/>
      <c r="AH26" s="10"/>
      <c r="AI26" s="10"/>
      <c r="AJ26" s="15"/>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M26" s="29">
        <v>330</v>
      </c>
      <c r="CN26" s="29">
        <v>0.33</v>
      </c>
      <c r="CO26" s="29">
        <f t="shared" si="30"/>
        <v>3.0700000000000002E-2</v>
      </c>
      <c r="CQ26" s="29">
        <v>0.21649299999999999</v>
      </c>
      <c r="CR26" s="50">
        <v>0.32550000000000001</v>
      </c>
      <c r="CS26" s="50">
        <f t="shared" si="31"/>
        <v>3.0700000000000002E-2</v>
      </c>
      <c r="CT26" s="50">
        <f t="shared" si="36"/>
        <v>5.4585999999999996E-2</v>
      </c>
      <c r="CU26" s="50" t="s">
        <v>72</v>
      </c>
      <c r="CV26" s="50" t="s">
        <v>72</v>
      </c>
      <c r="CW26" s="50" t="s">
        <v>72</v>
      </c>
      <c r="CX26" s="50" t="s">
        <v>72</v>
      </c>
      <c r="DY26" s="50"/>
      <c r="EG26" s="26"/>
      <c r="EH26" s="26">
        <v>20</v>
      </c>
      <c r="EI26" s="26">
        <v>100.8</v>
      </c>
      <c r="EJ26" s="26">
        <v>73.3</v>
      </c>
      <c r="EK26" s="26">
        <v>58.7</v>
      </c>
      <c r="EL26" s="26">
        <v>38.200000000000003</v>
      </c>
      <c r="EM26" s="26">
        <v>29.1</v>
      </c>
      <c r="EN26" s="26">
        <v>23.8</v>
      </c>
      <c r="EO26" s="26">
        <v>14.4</v>
      </c>
      <c r="EP26" s="26">
        <v>8.6</v>
      </c>
      <c r="EQ26" s="26">
        <v>5</v>
      </c>
      <c r="EU26" s="29"/>
      <c r="EV26" s="29"/>
      <c r="EW26" s="29">
        <f t="shared" si="22"/>
        <v>0.28422787582024189</v>
      </c>
      <c r="EX26" s="29">
        <f t="shared" si="23"/>
        <v>1.4588935056715768E-2</v>
      </c>
      <c r="EY26" s="29"/>
      <c r="EZ26" s="29">
        <v>315</v>
      </c>
      <c r="FA26" s="50">
        <f t="shared" si="1"/>
        <v>0.53197715068725782</v>
      </c>
      <c r="FB26" s="50">
        <f t="shared" si="2"/>
        <v>0.12169713241698943</v>
      </c>
      <c r="FC26" s="29">
        <v>315</v>
      </c>
      <c r="FD26" s="50">
        <f t="shared" si="3"/>
        <v>0.47286857838867358</v>
      </c>
      <c r="FE26" s="50">
        <f t="shared" si="4"/>
        <v>0.12169713241698943</v>
      </c>
      <c r="FF26" s="29">
        <v>22</v>
      </c>
      <c r="FG26" s="29">
        <f t="shared" si="0"/>
        <v>1.3823007675795089</v>
      </c>
      <c r="FH26" s="29">
        <f t="shared" si="5"/>
        <v>0.59468617521860656</v>
      </c>
      <c r="FI26" s="29">
        <f t="shared" si="6"/>
        <v>0.35621439437571739</v>
      </c>
      <c r="FJ26" s="50"/>
      <c r="FL26" s="29">
        <f t="shared" si="7"/>
        <v>0</v>
      </c>
      <c r="FM26" s="29">
        <f t="shared" si="8"/>
        <v>0</v>
      </c>
      <c r="FP26" s="29">
        <f t="shared" si="9"/>
        <v>0</v>
      </c>
      <c r="FQ26" s="29">
        <f t="shared" si="10"/>
        <v>0</v>
      </c>
      <c r="FT26" s="29">
        <f t="shared" si="24"/>
        <v>0.5</v>
      </c>
      <c r="FU26" s="29">
        <f t="shared" si="25"/>
        <v>8.450000000000002E-2</v>
      </c>
      <c r="GB26" s="51">
        <f t="shared" si="28"/>
        <v>0.28422787582024189</v>
      </c>
      <c r="GC26" s="51">
        <f t="shared" si="29"/>
        <v>1.4588935056715768E-2</v>
      </c>
      <c r="GE26" s="51">
        <v>315</v>
      </c>
      <c r="GF26" s="52">
        <f t="shared" si="11"/>
        <v>0.53197715068725782</v>
      </c>
      <c r="GG26" s="52">
        <f t="shared" si="12"/>
        <v>0.12169713241698943</v>
      </c>
      <c r="GH26" s="51">
        <v>315</v>
      </c>
      <c r="GI26" s="52">
        <f t="shared" si="13"/>
        <v>0.47286857838867358</v>
      </c>
      <c r="GJ26" s="52">
        <f t="shared" si="14"/>
        <v>0.12169713241698943</v>
      </c>
      <c r="GK26" s="51">
        <v>22</v>
      </c>
      <c r="GL26" s="51">
        <f t="shared" si="15"/>
        <v>1.3823007675795089</v>
      </c>
      <c r="GM26" s="51">
        <f t="shared" si="16"/>
        <v>0.59468617521860656</v>
      </c>
      <c r="GN26" s="51">
        <f t="shared" si="17"/>
        <v>0.35621439437571739</v>
      </c>
      <c r="GO26" s="52"/>
      <c r="GQ26" s="51">
        <f t="shared" si="18"/>
        <v>0</v>
      </c>
      <c r="GR26" s="51">
        <f t="shared" si="19"/>
        <v>0</v>
      </c>
      <c r="GU26" s="51">
        <f t="shared" si="20"/>
        <v>0</v>
      </c>
      <c r="GV26" s="51">
        <f t="shared" si="21"/>
        <v>0</v>
      </c>
      <c r="GY26" s="51">
        <f t="shared" si="26"/>
        <v>0.5</v>
      </c>
      <c r="GZ26" s="51">
        <f t="shared" si="27"/>
        <v>8.450000000000002E-2</v>
      </c>
    </row>
    <row r="27" spans="2:208">
      <c r="B27" s="9"/>
      <c r="C27" s="10"/>
      <c r="D27" s="10"/>
      <c r="E27" s="10"/>
      <c r="F27" s="11"/>
      <c r="G27" s="12"/>
      <c r="H27" s="10"/>
      <c r="I27" s="10"/>
      <c r="J27" s="10"/>
      <c r="K27" s="10"/>
      <c r="L27" s="10"/>
      <c r="M27" s="10"/>
      <c r="N27" s="10"/>
      <c r="O27" s="10"/>
      <c r="P27" s="10"/>
      <c r="Q27" s="10"/>
      <c r="R27" s="10"/>
      <c r="S27" s="10"/>
      <c r="T27" s="10"/>
      <c r="U27" s="10"/>
      <c r="V27" s="10"/>
      <c r="W27" s="10"/>
      <c r="X27" s="10"/>
      <c r="Y27" s="10"/>
      <c r="Z27" s="10"/>
      <c r="AA27" s="10"/>
      <c r="AB27" s="10"/>
      <c r="AC27" s="10"/>
      <c r="AD27" s="10"/>
      <c r="AE27" s="13"/>
      <c r="AF27" s="14"/>
      <c r="AG27" s="10"/>
      <c r="AH27" s="10"/>
      <c r="AI27" s="10"/>
      <c r="AJ27" s="15"/>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I27" s="53" t="s">
        <v>86</v>
      </c>
      <c r="CJ27" s="56">
        <f ca="1">W119/P113</f>
        <v>4.4377083333333331</v>
      </c>
      <c r="CK27" s="29" t="s">
        <v>87</v>
      </c>
      <c r="CQ27" s="29">
        <v>0.40054800000000002</v>
      </c>
      <c r="CR27" s="50">
        <v>0.40500000000000003</v>
      </c>
      <c r="CS27" s="50" t="s">
        <v>72</v>
      </c>
      <c r="CT27" s="50" t="s">
        <v>72</v>
      </c>
      <c r="CU27" s="50" t="s">
        <v>72</v>
      </c>
      <c r="CV27" s="50" t="s">
        <v>72</v>
      </c>
      <c r="CW27" s="50" t="s">
        <v>72</v>
      </c>
      <c r="CX27" s="50" t="s">
        <v>72</v>
      </c>
      <c r="DY27" s="50"/>
      <c r="EG27" s="26"/>
      <c r="EH27" s="26">
        <v>25</v>
      </c>
      <c r="EI27" s="26">
        <v>105.2</v>
      </c>
      <c r="EJ27" s="26">
        <v>76.7</v>
      </c>
      <c r="EK27" s="26">
        <v>61.6</v>
      </c>
      <c r="EL27" s="26">
        <v>40.1</v>
      </c>
      <c r="EM27" s="26">
        <v>30.5</v>
      </c>
      <c r="EN27" s="26">
        <v>25</v>
      </c>
      <c r="EO27" s="26">
        <v>15.2</v>
      </c>
      <c r="EP27" s="26">
        <v>9.1</v>
      </c>
      <c r="EQ27" s="26">
        <v>5</v>
      </c>
      <c r="EU27" s="29"/>
      <c r="EV27" s="29"/>
      <c r="EW27" s="29">
        <f t="shared" si="22"/>
        <v>0.27194828058139531</v>
      </c>
      <c r="EX27" s="29">
        <f t="shared" si="23"/>
        <v>1.016800873968185E-2</v>
      </c>
      <c r="EY27" s="29"/>
      <c r="EZ27" s="29">
        <v>330</v>
      </c>
      <c r="FA27" s="50">
        <f t="shared" si="1"/>
        <v>0.58150016645432556</v>
      </c>
      <c r="FB27" s="50">
        <f t="shared" si="2"/>
        <v>0.2077499999999998</v>
      </c>
      <c r="FC27" s="29">
        <v>330</v>
      </c>
      <c r="FD27" s="50">
        <f t="shared" si="3"/>
        <v>0.51688903684828935</v>
      </c>
      <c r="FE27" s="50">
        <f t="shared" si="4"/>
        <v>0.2077499999999998</v>
      </c>
      <c r="FF27" s="29">
        <v>23</v>
      </c>
      <c r="FG27" s="29">
        <f t="shared" si="0"/>
        <v>1.4451326206513049</v>
      </c>
      <c r="FH27" s="29">
        <f t="shared" si="5"/>
        <v>0.5976344103943434</v>
      </c>
      <c r="FI27" s="29">
        <f t="shared" si="6"/>
        <v>0.33759997006929127</v>
      </c>
      <c r="FJ27" s="50"/>
      <c r="FL27" s="29">
        <f t="shared" si="7"/>
        <v>0</v>
      </c>
      <c r="FM27" s="29">
        <f t="shared" si="8"/>
        <v>0</v>
      </c>
      <c r="FP27" s="29">
        <f t="shared" si="9"/>
        <v>0</v>
      </c>
      <c r="FQ27" s="29">
        <f t="shared" si="10"/>
        <v>0</v>
      </c>
      <c r="FT27" s="29">
        <f t="shared" si="24"/>
        <v>0.5</v>
      </c>
      <c r="FU27" s="29">
        <f t="shared" si="25"/>
        <v>8.450000000000002E-2</v>
      </c>
      <c r="GB27" s="51">
        <f t="shared" si="28"/>
        <v>0.27194828058139531</v>
      </c>
      <c r="GC27" s="51">
        <f t="shared" si="29"/>
        <v>1.016800873968185E-2</v>
      </c>
      <c r="GE27" s="51">
        <v>330</v>
      </c>
      <c r="GF27" s="52">
        <f t="shared" si="11"/>
        <v>0.58150016645432556</v>
      </c>
      <c r="GG27" s="52">
        <f t="shared" si="12"/>
        <v>0.2077499999999998</v>
      </c>
      <c r="GH27" s="51">
        <v>330</v>
      </c>
      <c r="GI27" s="52">
        <f t="shared" si="13"/>
        <v>0.51688903684828935</v>
      </c>
      <c r="GJ27" s="52">
        <f t="shared" si="14"/>
        <v>0.2077499999999998</v>
      </c>
      <c r="GK27" s="51">
        <v>23</v>
      </c>
      <c r="GL27" s="51">
        <f t="shared" si="15"/>
        <v>1.4451326206513049</v>
      </c>
      <c r="GM27" s="51">
        <f t="shared" si="16"/>
        <v>0.5976344103943434</v>
      </c>
      <c r="GN27" s="51">
        <f t="shared" si="17"/>
        <v>0.33759997006929127</v>
      </c>
      <c r="GO27" s="52"/>
      <c r="GQ27" s="51">
        <f t="shared" si="18"/>
        <v>0</v>
      </c>
      <c r="GR27" s="51">
        <f t="shared" si="19"/>
        <v>0</v>
      </c>
      <c r="GU27" s="51">
        <f t="shared" si="20"/>
        <v>0</v>
      </c>
      <c r="GV27" s="51">
        <f t="shared" si="21"/>
        <v>0</v>
      </c>
      <c r="GY27" s="51">
        <f t="shared" si="26"/>
        <v>0.5</v>
      </c>
      <c r="GZ27" s="51">
        <f t="shared" si="27"/>
        <v>8.450000000000002E-2</v>
      </c>
    </row>
    <row r="28" spans="2:208">
      <c r="B28" s="9"/>
      <c r="C28" s="10"/>
      <c r="D28" s="10"/>
      <c r="E28" s="10"/>
      <c r="F28" s="11"/>
      <c r="G28" s="12"/>
      <c r="H28" s="10"/>
      <c r="I28" s="10"/>
      <c r="J28" s="10"/>
      <c r="K28" s="10"/>
      <c r="L28" s="10"/>
      <c r="M28" s="10"/>
      <c r="N28" s="10"/>
      <c r="O28" s="10"/>
      <c r="P28" s="10"/>
      <c r="Q28" s="10"/>
      <c r="R28" s="10"/>
      <c r="S28" s="10"/>
      <c r="T28" s="10"/>
      <c r="U28" s="10"/>
      <c r="V28" s="10"/>
      <c r="W28" s="10"/>
      <c r="X28" s="10"/>
      <c r="Y28" s="10"/>
      <c r="Z28" s="10"/>
      <c r="AA28" s="10"/>
      <c r="AB28" s="10"/>
      <c r="AC28" s="10"/>
      <c r="AD28" s="10"/>
      <c r="AE28" s="13"/>
      <c r="AF28" s="14"/>
      <c r="AG28" s="10"/>
      <c r="AH28" s="10"/>
      <c r="AI28" s="10"/>
      <c r="AJ28" s="15"/>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M28" s="29" t="s">
        <v>88</v>
      </c>
      <c r="DY28" s="50"/>
      <c r="EG28" s="26"/>
      <c r="EH28" s="26">
        <v>30</v>
      </c>
      <c r="EI28" s="26">
        <v>108.9</v>
      </c>
      <c r="EJ28" s="26">
        <v>79.7</v>
      </c>
      <c r="EK28" s="26">
        <v>64</v>
      </c>
      <c r="EL28" s="26">
        <v>41.7</v>
      </c>
      <c r="EM28" s="26">
        <v>31.8</v>
      </c>
      <c r="EN28" s="26">
        <v>26.1</v>
      </c>
      <c r="EO28" s="26">
        <v>15.8</v>
      </c>
      <c r="EP28" s="26">
        <v>9.5</v>
      </c>
      <c r="EQ28" s="26">
        <v>6</v>
      </c>
      <c r="EU28" s="29"/>
      <c r="EV28" s="29"/>
      <c r="EW28" s="29">
        <f t="shared" si="22"/>
        <v>0.2594153240584986</v>
      </c>
      <c r="EX28" s="29">
        <f t="shared" si="23"/>
        <v>6.5268482755268808E-3</v>
      </c>
      <c r="EY28" s="29"/>
      <c r="EZ28" s="29">
        <v>345</v>
      </c>
      <c r="FA28" s="50">
        <f t="shared" si="1"/>
        <v>0.61263163561733092</v>
      </c>
      <c r="FB28" s="50">
        <f t="shared" si="2"/>
        <v>0.30796068675990262</v>
      </c>
      <c r="FC28" s="29">
        <v>345</v>
      </c>
      <c r="FD28" s="50">
        <f t="shared" si="3"/>
        <v>0.54456145388207178</v>
      </c>
      <c r="FE28" s="50">
        <f t="shared" si="4"/>
        <v>0.30796068675990262</v>
      </c>
      <c r="FF28" s="29">
        <v>24</v>
      </c>
      <c r="FG28" s="29">
        <f t="shared" si="0"/>
        <v>1.5079644737231006</v>
      </c>
      <c r="FH28" s="29">
        <f t="shared" si="5"/>
        <v>0.59940801852848147</v>
      </c>
      <c r="FI28" s="29">
        <f t="shared" si="6"/>
        <v>0.31883715585879402</v>
      </c>
      <c r="FJ28" s="50"/>
      <c r="FL28" s="29">
        <f t="shared" si="7"/>
        <v>0</v>
      </c>
      <c r="FM28" s="29">
        <f t="shared" si="8"/>
        <v>0</v>
      </c>
      <c r="FP28" s="29">
        <f t="shared" si="9"/>
        <v>0</v>
      </c>
      <c r="FQ28" s="29">
        <f t="shared" si="10"/>
        <v>0</v>
      </c>
      <c r="FT28" s="29">
        <f t="shared" si="24"/>
        <v>0.5</v>
      </c>
      <c r="FU28" s="29">
        <f t="shared" si="25"/>
        <v>8.450000000000002E-2</v>
      </c>
      <c r="GB28" s="51">
        <f t="shared" si="28"/>
        <v>0.2594153240584986</v>
      </c>
      <c r="GC28" s="51">
        <f t="shared" si="29"/>
        <v>6.5268482755268808E-3</v>
      </c>
      <c r="GE28" s="51">
        <v>345</v>
      </c>
      <c r="GF28" s="52">
        <f t="shared" si="11"/>
        <v>0.61263163561733092</v>
      </c>
      <c r="GG28" s="52">
        <f t="shared" si="12"/>
        <v>0.30796068675990262</v>
      </c>
      <c r="GH28" s="51">
        <v>345</v>
      </c>
      <c r="GI28" s="52">
        <f t="shared" si="13"/>
        <v>0.54456145388207178</v>
      </c>
      <c r="GJ28" s="52">
        <f t="shared" si="14"/>
        <v>0.30796068675990262</v>
      </c>
      <c r="GK28" s="51">
        <v>24</v>
      </c>
      <c r="GL28" s="51">
        <f t="shared" si="15"/>
        <v>1.5079644737231006</v>
      </c>
      <c r="GM28" s="51">
        <f t="shared" si="16"/>
        <v>0.59940801852848147</v>
      </c>
      <c r="GN28" s="51">
        <f t="shared" si="17"/>
        <v>0.31883715585879402</v>
      </c>
      <c r="GO28" s="52"/>
      <c r="GQ28" s="51">
        <f t="shared" si="18"/>
        <v>0</v>
      </c>
      <c r="GR28" s="51">
        <f t="shared" si="19"/>
        <v>0</v>
      </c>
      <c r="GU28" s="51">
        <f t="shared" si="20"/>
        <v>0</v>
      </c>
      <c r="GV28" s="51">
        <f t="shared" si="21"/>
        <v>0</v>
      </c>
      <c r="GY28" s="51">
        <f t="shared" si="26"/>
        <v>0.5</v>
      </c>
      <c r="GZ28" s="51">
        <f t="shared" si="27"/>
        <v>8.450000000000002E-2</v>
      </c>
    </row>
    <row r="29" spans="2:208">
      <c r="B29" s="9"/>
      <c r="C29" s="10"/>
      <c r="D29" s="10"/>
      <c r="E29" s="10"/>
      <c r="F29" s="11"/>
      <c r="G29" s="12"/>
      <c r="H29" s="10"/>
      <c r="I29" s="10"/>
      <c r="J29" s="10"/>
      <c r="K29" s="10"/>
      <c r="L29" s="10"/>
      <c r="M29" s="10"/>
      <c r="N29" s="10"/>
      <c r="O29" s="10"/>
      <c r="P29" s="10"/>
      <c r="Q29" s="10"/>
      <c r="R29" s="10"/>
      <c r="S29" s="10"/>
      <c r="T29" s="10"/>
      <c r="U29" s="10"/>
      <c r="V29" s="10"/>
      <c r="W29" s="10"/>
      <c r="X29" s="10"/>
      <c r="Y29" s="10"/>
      <c r="Z29" s="10"/>
      <c r="AA29" s="10"/>
      <c r="AB29" s="10"/>
      <c r="AC29" s="10"/>
      <c r="AD29" s="10"/>
      <c r="AE29" s="13"/>
      <c r="AF29" s="14"/>
      <c r="AG29" s="10"/>
      <c r="AH29" s="10"/>
      <c r="AI29" s="10"/>
      <c r="AJ29" s="15"/>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I29" s="53" t="s">
        <v>89</v>
      </c>
      <c r="CK29" s="29" t="s">
        <v>71</v>
      </c>
      <c r="CM29" s="29">
        <v>180</v>
      </c>
      <c r="CN29" s="29">
        <v>0.18</v>
      </c>
      <c r="CO29" s="29">
        <f t="shared" ref="CO29:CO33" si="37">CT22</f>
        <v>2.4586E-2</v>
      </c>
      <c r="DY29" s="50"/>
      <c r="EG29" s="26"/>
      <c r="EH29" s="26">
        <v>50</v>
      </c>
      <c r="EI29" s="26">
        <v>120.1</v>
      </c>
      <c r="EJ29" s="26">
        <v>88.4</v>
      </c>
      <c r="EK29" s="26">
        <v>71.3</v>
      </c>
      <c r="EL29" s="26">
        <v>46.7</v>
      </c>
      <c r="EM29" s="26">
        <v>35.6</v>
      </c>
      <c r="EN29" s="26">
        <v>29.2</v>
      </c>
      <c r="EO29" s="26">
        <v>17.8</v>
      </c>
      <c r="EP29" s="26">
        <v>10.6</v>
      </c>
      <c r="EQ29" s="26">
        <v>6</v>
      </c>
      <c r="EU29" s="29"/>
      <c r="EV29" s="29"/>
      <c r="EW29" s="29">
        <f t="shared" si="22"/>
        <v>0.24667846810518435</v>
      </c>
      <c r="EX29" s="29">
        <f t="shared" si="23"/>
        <v>3.6798236611149393E-3</v>
      </c>
      <c r="EY29" s="29"/>
      <c r="EZ29" s="29">
        <v>360</v>
      </c>
      <c r="FA29" s="50">
        <f t="shared" si="1"/>
        <v>0.62324999999999997</v>
      </c>
      <c r="FB29" s="50">
        <f t="shared" si="2"/>
        <v>0.41549999999999987</v>
      </c>
      <c r="FC29" s="29">
        <v>360</v>
      </c>
      <c r="FD29" s="50">
        <f t="shared" si="3"/>
        <v>0.55399999999999994</v>
      </c>
      <c r="FE29" s="50">
        <f t="shared" si="4"/>
        <v>0.41549999999999987</v>
      </c>
      <c r="FF29" s="29">
        <v>25</v>
      </c>
      <c r="FG29" s="29">
        <f t="shared" si="0"/>
        <v>1.5707963267948966</v>
      </c>
      <c r="FH29" s="29">
        <f t="shared" si="5"/>
        <v>0.6</v>
      </c>
      <c r="FI29" s="29">
        <f t="shared" si="6"/>
        <v>0.3</v>
      </c>
      <c r="FJ29" s="29"/>
      <c r="FL29" s="29">
        <f t="shared" si="7"/>
        <v>0</v>
      </c>
      <c r="FM29" s="29">
        <f t="shared" si="8"/>
        <v>0</v>
      </c>
      <c r="FP29" s="29">
        <f t="shared" si="9"/>
        <v>0</v>
      </c>
      <c r="FQ29" s="29">
        <f t="shared" si="10"/>
        <v>0</v>
      </c>
      <c r="FT29" s="29">
        <f t="shared" si="24"/>
        <v>0.5</v>
      </c>
      <c r="FU29" s="29">
        <f t="shared" si="25"/>
        <v>8.450000000000002E-2</v>
      </c>
      <c r="GB29" s="51">
        <f t="shared" si="28"/>
        <v>0.24667846810518435</v>
      </c>
      <c r="GC29" s="51">
        <f t="shared" si="29"/>
        <v>3.6798236611149393E-3</v>
      </c>
      <c r="GE29" s="51">
        <v>360</v>
      </c>
      <c r="GF29" s="52">
        <f t="shared" si="11"/>
        <v>0.62324999999999997</v>
      </c>
      <c r="GG29" s="52">
        <f t="shared" si="12"/>
        <v>0.41549999999999987</v>
      </c>
      <c r="GH29" s="51">
        <v>360</v>
      </c>
      <c r="GI29" s="52">
        <f t="shared" si="13"/>
        <v>0.55399999999999994</v>
      </c>
      <c r="GJ29" s="52">
        <f t="shared" si="14"/>
        <v>0.41549999999999987</v>
      </c>
      <c r="GK29" s="51">
        <v>25</v>
      </c>
      <c r="GL29" s="51">
        <f t="shared" si="15"/>
        <v>1.5707963267948966</v>
      </c>
      <c r="GM29" s="51">
        <f t="shared" si="16"/>
        <v>0.6</v>
      </c>
      <c r="GN29" s="51">
        <f t="shared" si="17"/>
        <v>0.3</v>
      </c>
      <c r="GQ29" s="51">
        <f t="shared" si="18"/>
        <v>0</v>
      </c>
      <c r="GR29" s="51">
        <f t="shared" si="19"/>
        <v>0</v>
      </c>
      <c r="GU29" s="51">
        <f t="shared" si="20"/>
        <v>0</v>
      </c>
      <c r="GV29" s="51">
        <f t="shared" si="21"/>
        <v>0</v>
      </c>
      <c r="GY29" s="51">
        <f t="shared" si="26"/>
        <v>0.5</v>
      </c>
      <c r="GZ29" s="51">
        <f t="shared" si="27"/>
        <v>8.450000000000002E-2</v>
      </c>
    </row>
    <row r="30" spans="2:208">
      <c r="B30" s="9"/>
      <c r="C30" s="10"/>
      <c r="D30" s="10"/>
      <c r="E30" s="10"/>
      <c r="F30" s="11"/>
      <c r="G30" s="12"/>
      <c r="H30" s="10"/>
      <c r="I30" s="10"/>
      <c r="J30" s="10"/>
      <c r="K30" s="10"/>
      <c r="L30" s="10"/>
      <c r="M30" s="10"/>
      <c r="N30" s="10"/>
      <c r="O30" s="10"/>
      <c r="P30" s="10"/>
      <c r="Q30" s="10"/>
      <c r="R30" s="10"/>
      <c r="S30" s="10"/>
      <c r="T30" s="10"/>
      <c r="U30" s="10"/>
      <c r="V30" s="10"/>
      <c r="W30" s="10"/>
      <c r="X30" s="10"/>
      <c r="Y30" s="10"/>
      <c r="Z30" s="10"/>
      <c r="AA30" s="10"/>
      <c r="AB30" s="10"/>
      <c r="AC30" s="10"/>
      <c r="AD30" s="10"/>
      <c r="AE30" s="13"/>
      <c r="AF30" s="14"/>
      <c r="AG30" s="10"/>
      <c r="AH30" s="10"/>
      <c r="AI30" s="10"/>
      <c r="AJ30" s="15"/>
      <c r="AK30" s="33"/>
      <c r="CE30" s="33"/>
      <c r="CF30" s="33"/>
      <c r="CG30" s="33"/>
      <c r="CH30" s="29" t="s">
        <v>73</v>
      </c>
      <c r="CI30" s="53" t="s">
        <v>74</v>
      </c>
      <c r="CJ30" s="56">
        <f>HLOOKUP(M$116,CQ$13:CX$19,2,FALSE)</f>
        <v>0.16600000000000001</v>
      </c>
      <c r="CK30" s="29" t="s">
        <v>1</v>
      </c>
      <c r="CM30" s="29">
        <v>230</v>
      </c>
      <c r="CN30" s="29">
        <v>0.23</v>
      </c>
      <c r="CO30" s="29">
        <f t="shared" si="37"/>
        <v>3.2086000000000003E-2</v>
      </c>
      <c r="EG30" s="26"/>
      <c r="EH30" s="26">
        <v>100</v>
      </c>
      <c r="EI30" s="26">
        <v>137.19999999999999</v>
      </c>
      <c r="EJ30" s="26">
        <v>101.9</v>
      </c>
      <c r="EK30" s="26">
        <v>82.6</v>
      </c>
      <c r="EL30" s="26">
        <v>54.3</v>
      </c>
      <c r="EM30" s="26">
        <v>41.6</v>
      </c>
      <c r="EN30" s="26">
        <v>34.200000000000003</v>
      </c>
      <c r="EO30" s="26">
        <v>20.8</v>
      </c>
      <c r="EP30" s="26">
        <v>12.4</v>
      </c>
      <c r="EQ30" s="26">
        <v>7</v>
      </c>
      <c r="EU30" s="29"/>
      <c r="EV30" s="29"/>
      <c r="EW30" s="29">
        <f t="shared" si="22"/>
        <v>0.23378797927298425</v>
      </c>
      <c r="EX30" s="29">
        <f t="shared" si="23"/>
        <v>1.6381708019172492E-3</v>
      </c>
      <c r="EY30" s="29"/>
      <c r="EZ30" s="29"/>
      <c r="FA30" s="29"/>
      <c r="FB30" s="29"/>
      <c r="FC30" s="29"/>
      <c r="FD30" s="29"/>
      <c r="FE30" s="29"/>
      <c r="FF30" s="29">
        <v>26</v>
      </c>
      <c r="FG30" s="29">
        <f t="shared" si="0"/>
        <v>1.6336281798666925</v>
      </c>
      <c r="FH30" s="29">
        <f t="shared" si="5"/>
        <v>0.59940801852848147</v>
      </c>
      <c r="FI30" s="29">
        <f t="shared" si="6"/>
        <v>0.28116284414120596</v>
      </c>
      <c r="FJ30" s="29"/>
      <c r="FL30" s="29">
        <f t="shared" si="7"/>
        <v>0</v>
      </c>
      <c r="FM30" s="29">
        <f t="shared" si="8"/>
        <v>0</v>
      </c>
      <c r="FP30" s="29">
        <f t="shared" si="9"/>
        <v>0</v>
      </c>
      <c r="FQ30" s="29">
        <f t="shared" si="10"/>
        <v>0</v>
      </c>
      <c r="FT30" s="29">
        <f t="shared" si="24"/>
        <v>0.5</v>
      </c>
      <c r="FU30" s="29">
        <f t="shared" si="25"/>
        <v>8.450000000000002E-2</v>
      </c>
      <c r="GB30" s="51">
        <f t="shared" si="28"/>
        <v>0.23378797927298425</v>
      </c>
      <c r="GC30" s="51">
        <f t="shared" si="29"/>
        <v>1.6381708019172492E-3</v>
      </c>
      <c r="GK30" s="51">
        <v>26</v>
      </c>
      <c r="GL30" s="51">
        <f t="shared" si="15"/>
        <v>1.6336281798666925</v>
      </c>
      <c r="GM30" s="51">
        <f t="shared" si="16"/>
        <v>0.59940801852848147</v>
      </c>
      <c r="GN30" s="51">
        <f t="shared" si="17"/>
        <v>0.28116284414120596</v>
      </c>
      <c r="GQ30" s="51">
        <f t="shared" si="18"/>
        <v>0</v>
      </c>
      <c r="GR30" s="51">
        <f t="shared" si="19"/>
        <v>0</v>
      </c>
      <c r="GU30" s="51">
        <f t="shared" si="20"/>
        <v>0</v>
      </c>
      <c r="GV30" s="51">
        <f t="shared" si="21"/>
        <v>0</v>
      </c>
      <c r="GY30" s="51">
        <f t="shared" si="26"/>
        <v>0.5</v>
      </c>
      <c r="GZ30" s="51">
        <f t="shared" si="27"/>
        <v>8.450000000000002E-2</v>
      </c>
    </row>
    <row r="31" spans="2:208">
      <c r="B31" s="9"/>
      <c r="C31" s="10"/>
      <c r="D31" s="10"/>
      <c r="E31" s="10"/>
      <c r="F31" s="11"/>
      <c r="G31" s="12"/>
      <c r="H31" s="10"/>
      <c r="I31" s="10"/>
      <c r="J31" s="10"/>
      <c r="K31" s="10"/>
      <c r="L31" s="10"/>
      <c r="M31" s="10"/>
      <c r="N31" s="10"/>
      <c r="O31" s="10"/>
      <c r="P31" s="10"/>
      <c r="Q31" s="10"/>
      <c r="R31" s="10"/>
      <c r="S31" s="10"/>
      <c r="T31" s="10"/>
      <c r="U31" s="10"/>
      <c r="V31" s="10"/>
      <c r="W31" s="10"/>
      <c r="X31" s="10"/>
      <c r="Y31" s="10"/>
      <c r="Z31" s="10"/>
      <c r="AA31" s="10"/>
      <c r="AB31" s="10"/>
      <c r="AC31" s="10"/>
      <c r="AD31" s="10"/>
      <c r="AE31" s="13"/>
      <c r="AF31" s="14"/>
      <c r="AG31" s="10"/>
      <c r="AH31" s="10"/>
      <c r="AI31" s="10"/>
      <c r="AJ31" s="15"/>
      <c r="AK31" s="33"/>
      <c r="CE31" s="33"/>
      <c r="CF31" s="33"/>
      <c r="CG31" s="33"/>
      <c r="CH31" s="29" t="s">
        <v>20</v>
      </c>
      <c r="CI31" s="53" t="s">
        <v>75</v>
      </c>
      <c r="CJ31" s="56">
        <f>HLOOKUP(M$116,CQ$21:CX$27,2,FALSE)</f>
        <v>1.9372E-2</v>
      </c>
      <c r="CK31" s="29" t="s">
        <v>48</v>
      </c>
      <c r="CM31" s="29">
        <v>280</v>
      </c>
      <c r="CN31" s="29">
        <v>0.28000000000000003</v>
      </c>
      <c r="CO31" s="29">
        <f t="shared" si="37"/>
        <v>3.9586000000000003E-2</v>
      </c>
      <c r="EA31" s="50"/>
      <c r="EB31" s="50"/>
      <c r="EG31" s="26"/>
      <c r="EH31" s="26">
        <v>500</v>
      </c>
      <c r="EI31" s="26">
        <v>187</v>
      </c>
      <c r="EJ31" s="26">
        <v>141.6</v>
      </c>
      <c r="EK31" s="26">
        <v>116</v>
      </c>
      <c r="EL31" s="26">
        <v>77.3</v>
      </c>
      <c r="EM31" s="26">
        <v>59.5</v>
      </c>
      <c r="EN31" s="26">
        <v>49</v>
      </c>
      <c r="EO31" s="26">
        <v>30</v>
      </c>
      <c r="EP31" s="26">
        <v>17.899999999999999</v>
      </c>
      <c r="EQ31" s="26">
        <v>10</v>
      </c>
      <c r="EU31" s="29"/>
      <c r="EV31" s="29"/>
      <c r="EW31" s="29">
        <f t="shared" si="22"/>
        <v>0.2207947304322149</v>
      </c>
      <c r="EX31" s="29">
        <f t="shared" si="23"/>
        <v>4.0994716902659212E-4</v>
      </c>
      <c r="EY31" s="29"/>
      <c r="EZ31" s="29"/>
      <c r="FA31" s="29"/>
      <c r="FB31" s="29"/>
      <c r="FC31" s="29"/>
      <c r="FD31" s="29"/>
      <c r="FE31" s="29"/>
      <c r="FF31" s="29">
        <v>27</v>
      </c>
      <c r="FG31" s="29">
        <f t="shared" si="0"/>
        <v>1.6964600329384885</v>
      </c>
      <c r="FH31" s="29">
        <f t="shared" si="5"/>
        <v>0.59763441039434329</v>
      </c>
      <c r="FI31" s="29">
        <f t="shared" si="6"/>
        <v>0.26240002993070866</v>
      </c>
      <c r="FJ31" s="29"/>
      <c r="FL31" s="29">
        <f t="shared" si="7"/>
        <v>0</v>
      </c>
      <c r="FM31" s="29">
        <f t="shared" si="8"/>
        <v>0</v>
      </c>
      <c r="FP31" s="29">
        <f t="shared" si="9"/>
        <v>0</v>
      </c>
      <c r="FQ31" s="29">
        <f t="shared" si="10"/>
        <v>0</v>
      </c>
      <c r="FT31" s="29">
        <f t="shared" si="24"/>
        <v>0.5</v>
      </c>
      <c r="FU31" s="29">
        <f t="shared" si="25"/>
        <v>8.450000000000002E-2</v>
      </c>
      <c r="GB31" s="51">
        <f t="shared" si="28"/>
        <v>0.2207947304322149</v>
      </c>
      <c r="GC31" s="51">
        <f t="shared" si="29"/>
        <v>4.0994716902659212E-4</v>
      </c>
      <c r="GK31" s="51">
        <v>27</v>
      </c>
      <c r="GL31" s="51">
        <f t="shared" si="15"/>
        <v>1.6964600329384885</v>
      </c>
      <c r="GM31" s="51">
        <f t="shared" si="16"/>
        <v>0.59763441039434329</v>
      </c>
      <c r="GN31" s="51">
        <f t="shared" si="17"/>
        <v>0.26240002993070866</v>
      </c>
      <c r="GQ31" s="51">
        <f t="shared" si="18"/>
        <v>0</v>
      </c>
      <c r="GR31" s="51">
        <f t="shared" si="19"/>
        <v>0</v>
      </c>
      <c r="GU31" s="51">
        <f t="shared" si="20"/>
        <v>0</v>
      </c>
      <c r="GV31" s="51">
        <f t="shared" si="21"/>
        <v>0</v>
      </c>
      <c r="GY31" s="51">
        <f t="shared" si="26"/>
        <v>0.5</v>
      </c>
      <c r="GZ31" s="51">
        <f t="shared" si="27"/>
        <v>8.450000000000002E-2</v>
      </c>
    </row>
    <row r="32" spans="2:208">
      <c r="B32" s="9"/>
      <c r="C32" s="10"/>
      <c r="D32" s="10"/>
      <c r="E32" s="10"/>
      <c r="F32" s="11"/>
      <c r="G32" s="12"/>
      <c r="H32" s="10"/>
      <c r="I32" s="10"/>
      <c r="J32" s="10"/>
      <c r="K32" s="10"/>
      <c r="L32" s="10"/>
      <c r="M32" s="10"/>
      <c r="N32" s="10"/>
      <c r="O32" s="10"/>
      <c r="P32" s="10"/>
      <c r="Q32" s="10"/>
      <c r="R32" s="10"/>
      <c r="S32" s="10"/>
      <c r="T32" s="10"/>
      <c r="U32" s="10"/>
      <c r="V32" s="10"/>
      <c r="W32" s="10"/>
      <c r="X32" s="10"/>
      <c r="Y32" s="10"/>
      <c r="Z32" s="10"/>
      <c r="AA32" s="10"/>
      <c r="AB32" s="10"/>
      <c r="AC32" s="10"/>
      <c r="AD32" s="10"/>
      <c r="AE32" s="13"/>
      <c r="AF32" s="14"/>
      <c r="AG32" s="10"/>
      <c r="AH32" s="10"/>
      <c r="AI32" s="10"/>
      <c r="AJ32" s="15"/>
      <c r="AK32" s="33"/>
      <c r="CE32" s="33"/>
      <c r="CF32" s="33"/>
      <c r="CG32" s="33"/>
      <c r="CI32" s="53" t="s">
        <v>19</v>
      </c>
      <c r="CJ32" s="49">
        <v>8</v>
      </c>
      <c r="CM32" s="29">
        <v>330</v>
      </c>
      <c r="CN32" s="29">
        <v>0.33</v>
      </c>
      <c r="CO32" s="29">
        <f t="shared" si="37"/>
        <v>4.7086000000000003E-2</v>
      </c>
      <c r="EG32" s="26"/>
      <c r="EH32" s="26">
        <v>1000</v>
      </c>
      <c r="EI32" s="26">
        <v>213.6</v>
      </c>
      <c r="EJ32" s="26">
        <v>163.1</v>
      </c>
      <c r="EK32" s="26">
        <v>134.30000000000001</v>
      </c>
      <c r="EL32" s="26">
        <v>90</v>
      </c>
      <c r="EM32" s="26">
        <v>69.5</v>
      </c>
      <c r="EN32" s="26">
        <v>57.3</v>
      </c>
      <c r="EO32" s="26">
        <v>35.200000000000003</v>
      </c>
      <c r="EP32" s="26">
        <v>20.9</v>
      </c>
      <c r="EQ32" s="26">
        <v>12</v>
      </c>
      <c r="EU32" s="29"/>
      <c r="EV32" s="29"/>
      <c r="EW32" s="29">
        <f t="shared" si="22"/>
        <v>0.20775000000000002</v>
      </c>
      <c r="EX32" s="29">
        <f t="shared" si="23"/>
        <v>0</v>
      </c>
      <c r="EY32" s="29"/>
      <c r="EZ32" s="29"/>
      <c r="FA32" s="29"/>
      <c r="FB32" s="29"/>
      <c r="FC32" s="29"/>
      <c r="FD32" s="29"/>
      <c r="FE32" s="29"/>
      <c r="FF32" s="29">
        <v>28</v>
      </c>
      <c r="FG32" s="29">
        <f t="shared" si="0"/>
        <v>1.7592918860102844</v>
      </c>
      <c r="FH32" s="29">
        <f t="shared" si="5"/>
        <v>0.59468617521860656</v>
      </c>
      <c r="FI32" s="29">
        <f t="shared" si="6"/>
        <v>0.24378560562428253</v>
      </c>
      <c r="FJ32" s="29"/>
      <c r="FL32" s="29">
        <f t="shared" si="7"/>
        <v>0</v>
      </c>
      <c r="FM32" s="29">
        <f t="shared" si="8"/>
        <v>0</v>
      </c>
      <c r="FP32" s="29">
        <f t="shared" si="9"/>
        <v>0</v>
      </c>
      <c r="FQ32" s="29">
        <f t="shared" si="10"/>
        <v>0</v>
      </c>
      <c r="FT32" s="29">
        <f t="shared" si="24"/>
        <v>0.5</v>
      </c>
      <c r="FU32" s="29">
        <f t="shared" si="25"/>
        <v>8.450000000000002E-2</v>
      </c>
      <c r="GB32" s="51">
        <f t="shared" si="28"/>
        <v>0.20775000000000002</v>
      </c>
      <c r="GC32" s="51">
        <f t="shared" si="29"/>
        <v>0</v>
      </c>
      <c r="GK32" s="51">
        <v>28</v>
      </c>
      <c r="GL32" s="51">
        <f t="shared" si="15"/>
        <v>1.7592918860102844</v>
      </c>
      <c r="GM32" s="51">
        <f t="shared" si="16"/>
        <v>0.59468617521860656</v>
      </c>
      <c r="GN32" s="51">
        <f t="shared" si="17"/>
        <v>0.24378560562428253</v>
      </c>
      <c r="GQ32" s="51">
        <f t="shared" si="18"/>
        <v>0</v>
      </c>
      <c r="GR32" s="51">
        <f t="shared" si="19"/>
        <v>0</v>
      </c>
      <c r="GU32" s="51">
        <f t="shared" si="20"/>
        <v>0</v>
      </c>
      <c r="GV32" s="51">
        <f t="shared" si="21"/>
        <v>0</v>
      </c>
      <c r="GY32" s="51">
        <f t="shared" si="26"/>
        <v>0.5</v>
      </c>
      <c r="GZ32" s="51">
        <f t="shared" si="27"/>
        <v>8.450000000000002E-2</v>
      </c>
    </row>
    <row r="33" spans="2:208">
      <c r="B33" s="9"/>
      <c r="C33" s="10"/>
      <c r="D33" s="10"/>
      <c r="E33" s="10"/>
      <c r="F33" s="11"/>
      <c r="G33" s="12"/>
      <c r="H33" s="10"/>
      <c r="I33" s="10"/>
      <c r="J33" s="10"/>
      <c r="K33" s="10"/>
      <c r="L33" s="10"/>
      <c r="M33" s="10"/>
      <c r="N33" s="10"/>
      <c r="O33" s="10"/>
      <c r="P33" s="10"/>
      <c r="Q33" s="10"/>
      <c r="R33" s="10"/>
      <c r="S33" s="10"/>
      <c r="T33" s="10"/>
      <c r="U33" s="10"/>
      <c r="V33" s="10"/>
      <c r="W33" s="10"/>
      <c r="X33" s="10"/>
      <c r="Y33" s="10"/>
      <c r="Z33" s="10"/>
      <c r="AA33" s="10"/>
      <c r="AB33" s="10"/>
      <c r="AC33" s="10"/>
      <c r="AD33" s="10"/>
      <c r="AE33" s="13"/>
      <c r="AF33" s="14"/>
      <c r="AG33" s="10"/>
      <c r="AH33" s="10"/>
      <c r="AI33" s="10"/>
      <c r="AJ33" s="15"/>
      <c r="AK33" s="33"/>
      <c r="CE33" s="33"/>
      <c r="CF33" s="33"/>
      <c r="CG33" s="33"/>
      <c r="CI33" s="53" t="s">
        <v>90</v>
      </c>
      <c r="CJ33" s="29">
        <f ca="1">CJ$27*CJ32</f>
        <v>35.501666666666665</v>
      </c>
      <c r="CM33" s="29">
        <v>380</v>
      </c>
      <c r="CN33" s="29">
        <v>0.38</v>
      </c>
      <c r="CO33" s="29">
        <f t="shared" si="37"/>
        <v>5.4585999999999996E-2</v>
      </c>
      <c r="EG33" s="26"/>
      <c r="EH33" s="26"/>
      <c r="EI33" s="26"/>
      <c r="EJ33" s="26"/>
      <c r="EK33" s="26"/>
      <c r="EL33" s="26"/>
      <c r="EM33" s="26"/>
      <c r="EN33" s="26"/>
      <c r="EO33" s="26"/>
      <c r="EP33" s="26"/>
      <c r="EQ33" s="26"/>
      <c r="EU33" s="29"/>
      <c r="EV33" s="29"/>
      <c r="EW33" s="29">
        <f t="shared" si="22"/>
        <v>0.19470526956778514</v>
      </c>
      <c r="EX33" s="29">
        <f t="shared" si="23"/>
        <v>4.0994716902659212E-4</v>
      </c>
      <c r="EY33" s="29"/>
      <c r="EZ33" s="29"/>
      <c r="FA33" s="29"/>
      <c r="FB33" s="29"/>
      <c r="FC33" s="29"/>
      <c r="FD33" s="29"/>
      <c r="FE33" s="29"/>
      <c r="FF33" s="29">
        <v>29</v>
      </c>
      <c r="FG33" s="29">
        <f t="shared" si="0"/>
        <v>1.8221237390820799</v>
      </c>
      <c r="FH33" s="29">
        <f t="shared" si="5"/>
        <v>0.59057494833858937</v>
      </c>
      <c r="FI33" s="29">
        <f t="shared" si="6"/>
        <v>0.2253930338505436</v>
      </c>
      <c r="FJ33" s="29"/>
      <c r="FL33" s="29">
        <f t="shared" si="7"/>
        <v>0</v>
      </c>
      <c r="FM33" s="29">
        <f t="shared" si="8"/>
        <v>0</v>
      </c>
      <c r="FP33" s="29">
        <f t="shared" si="9"/>
        <v>0</v>
      </c>
      <c r="FQ33" s="29">
        <f t="shared" si="10"/>
        <v>0</v>
      </c>
      <c r="FT33" s="29">
        <f t="shared" si="24"/>
        <v>0.5</v>
      </c>
      <c r="FU33" s="29">
        <f t="shared" si="25"/>
        <v>8.450000000000002E-2</v>
      </c>
      <c r="GB33" s="51">
        <f t="shared" si="28"/>
        <v>0.19470526956778514</v>
      </c>
      <c r="GC33" s="51">
        <f t="shared" si="29"/>
        <v>4.0994716902659212E-4</v>
      </c>
      <c r="GK33" s="51">
        <v>29</v>
      </c>
      <c r="GL33" s="51">
        <f t="shared" si="15"/>
        <v>1.8221237390820799</v>
      </c>
      <c r="GM33" s="51">
        <f t="shared" si="16"/>
        <v>0.59057494833858937</v>
      </c>
      <c r="GN33" s="51">
        <f t="shared" si="17"/>
        <v>0.2253930338505436</v>
      </c>
      <c r="GQ33" s="51">
        <f t="shared" si="18"/>
        <v>0</v>
      </c>
      <c r="GR33" s="51">
        <f t="shared" si="19"/>
        <v>0</v>
      </c>
      <c r="GU33" s="51">
        <f t="shared" si="20"/>
        <v>0</v>
      </c>
      <c r="GV33" s="51">
        <f t="shared" si="21"/>
        <v>0</v>
      </c>
      <c r="GY33" s="51">
        <f t="shared" si="26"/>
        <v>0.5</v>
      </c>
      <c r="GZ33" s="51">
        <f t="shared" si="27"/>
        <v>8.450000000000002E-2</v>
      </c>
    </row>
    <row r="34" spans="2:208">
      <c r="B34" s="9"/>
      <c r="C34" s="10"/>
      <c r="D34" s="10"/>
      <c r="E34" s="10"/>
      <c r="F34" s="11"/>
      <c r="G34" s="12"/>
      <c r="H34" s="10"/>
      <c r="I34" s="10"/>
      <c r="J34" s="10"/>
      <c r="K34" s="10"/>
      <c r="L34" s="10"/>
      <c r="M34" s="10"/>
      <c r="N34" s="10"/>
      <c r="O34" s="10"/>
      <c r="P34" s="10"/>
      <c r="Q34" s="10"/>
      <c r="R34" s="10"/>
      <c r="S34" s="10"/>
      <c r="T34" s="10"/>
      <c r="U34" s="10"/>
      <c r="V34" s="10"/>
      <c r="W34" s="10"/>
      <c r="X34" s="10"/>
      <c r="Y34" s="10"/>
      <c r="Z34" s="10"/>
      <c r="AA34" s="10"/>
      <c r="AB34" s="10"/>
      <c r="AC34" s="10"/>
      <c r="AD34" s="10"/>
      <c r="AE34" s="13"/>
      <c r="AF34" s="14"/>
      <c r="AG34" s="10"/>
      <c r="AH34" s="10"/>
      <c r="AI34" s="10"/>
      <c r="AJ34" s="15"/>
      <c r="AK34" s="33"/>
      <c r="CE34" s="33"/>
      <c r="CF34" s="33"/>
      <c r="CG34" s="33"/>
      <c r="CI34" s="53" t="s">
        <v>91</v>
      </c>
      <c r="CJ34" s="29">
        <f>(2.66*CJ31^1.25)*((6.74*(CJ$22/100)^0.7)+0.4+(CJ32/CJ30)*CJ$23)*1000</f>
        <v>15.467897004751453</v>
      </c>
      <c r="EP34" s="25"/>
      <c r="EQ34" s="25"/>
      <c r="EU34" s="29"/>
      <c r="EV34" s="29"/>
      <c r="EW34" s="29">
        <f t="shared" si="22"/>
        <v>0.18171202072701578</v>
      </c>
      <c r="EX34" s="29">
        <f t="shared" si="23"/>
        <v>1.6381708019172214E-3</v>
      </c>
      <c r="EY34" s="29"/>
      <c r="EZ34" s="29"/>
      <c r="FA34" s="29"/>
      <c r="FB34" s="29"/>
      <c r="FC34" s="29"/>
      <c r="FD34" s="29"/>
      <c r="FE34" s="29"/>
      <c r="FF34" s="29">
        <v>30</v>
      </c>
      <c r="FG34" s="29">
        <f t="shared" si="0"/>
        <v>1.8849555921538759</v>
      </c>
      <c r="FH34" s="29">
        <f t="shared" si="5"/>
        <v>0.58531695488854607</v>
      </c>
      <c r="FI34" s="29">
        <f t="shared" si="6"/>
        <v>0.2072949016875158</v>
      </c>
      <c r="FJ34" s="29"/>
      <c r="FL34" s="29">
        <f t="shared" si="7"/>
        <v>0</v>
      </c>
      <c r="FM34" s="29">
        <f t="shared" si="8"/>
        <v>0</v>
      </c>
      <c r="FP34" s="29">
        <f t="shared" si="9"/>
        <v>0</v>
      </c>
      <c r="FQ34" s="29">
        <f t="shared" si="10"/>
        <v>0</v>
      </c>
      <c r="FT34" s="29">
        <f t="shared" si="24"/>
        <v>0.5</v>
      </c>
      <c r="FU34" s="29">
        <f t="shared" si="25"/>
        <v>8.450000000000002E-2</v>
      </c>
      <c r="GB34" s="51">
        <f t="shared" si="28"/>
        <v>0.18171202072701578</v>
      </c>
      <c r="GC34" s="51">
        <f t="shared" si="29"/>
        <v>1.6381708019172214E-3</v>
      </c>
      <c r="GK34" s="51">
        <v>30</v>
      </c>
      <c r="GL34" s="51">
        <f t="shared" si="15"/>
        <v>1.8849555921538759</v>
      </c>
      <c r="GM34" s="51">
        <f t="shared" si="16"/>
        <v>0.58531695488854607</v>
      </c>
      <c r="GN34" s="51">
        <f t="shared" si="17"/>
        <v>0.2072949016875158</v>
      </c>
      <c r="GQ34" s="51">
        <f t="shared" si="18"/>
        <v>0</v>
      </c>
      <c r="GR34" s="51">
        <f t="shared" si="19"/>
        <v>0</v>
      </c>
      <c r="GU34" s="51">
        <f t="shared" si="20"/>
        <v>0</v>
      </c>
      <c r="GV34" s="51">
        <f t="shared" si="21"/>
        <v>0</v>
      </c>
      <c r="GY34" s="51">
        <f t="shared" si="26"/>
        <v>0.5</v>
      </c>
      <c r="GZ34" s="51">
        <f t="shared" si="27"/>
        <v>8.450000000000002E-2</v>
      </c>
    </row>
    <row r="35" spans="2:208">
      <c r="B35" s="9"/>
      <c r="C35" s="10"/>
      <c r="D35" s="10"/>
      <c r="E35" s="10"/>
      <c r="F35" s="11"/>
      <c r="G35" s="12"/>
      <c r="H35" s="10"/>
      <c r="I35" s="10"/>
      <c r="J35" s="10"/>
      <c r="K35" s="10"/>
      <c r="L35" s="10"/>
      <c r="M35" s="10"/>
      <c r="N35" s="10"/>
      <c r="O35" s="10"/>
      <c r="P35" s="10"/>
      <c r="Q35" s="10"/>
      <c r="R35" s="10"/>
      <c r="S35" s="10"/>
      <c r="T35" s="10"/>
      <c r="U35" s="10"/>
      <c r="V35" s="10"/>
      <c r="W35" s="10"/>
      <c r="X35" s="10"/>
      <c r="Y35" s="10"/>
      <c r="Z35" s="10"/>
      <c r="AA35" s="10"/>
      <c r="AB35" s="10"/>
      <c r="AC35" s="10"/>
      <c r="AD35" s="10"/>
      <c r="AE35" s="13"/>
      <c r="AF35" s="14"/>
      <c r="AG35" s="10"/>
      <c r="AH35" s="10"/>
      <c r="AI35" s="10"/>
      <c r="AJ35" s="15"/>
      <c r="AK35" s="33"/>
      <c r="CE35" s="33"/>
      <c r="CF35" s="33"/>
      <c r="CG35" s="33"/>
      <c r="CI35" s="53" t="str">
        <f ca="1">IF(CJ34&gt;CJ33*1.2,"Channel Length Can Be Increased",IF(CJ34&gt;CJ33,"Channel Length Is OK","Insufficient Capacity, Decrease Channel Length"))</f>
        <v>Insufficient Capacity, Decrease Channel Length</v>
      </c>
      <c r="CM35" s="29" t="s">
        <v>92</v>
      </c>
      <c r="EG35" s="26" t="s">
        <v>36</v>
      </c>
      <c r="EH35" s="26" t="s">
        <v>16</v>
      </c>
      <c r="EI35" s="26" t="s">
        <v>37</v>
      </c>
      <c r="EJ35" s="26"/>
      <c r="EK35" s="26"/>
      <c r="EL35" s="26"/>
      <c r="EM35" s="26"/>
      <c r="EN35" s="26"/>
      <c r="EO35" s="26"/>
      <c r="EP35" s="26"/>
      <c r="EQ35" s="26"/>
      <c r="EU35" s="29"/>
      <c r="EV35" s="29"/>
      <c r="EW35" s="29">
        <f t="shared" si="22"/>
        <v>0.16882153189481566</v>
      </c>
      <c r="EX35" s="29">
        <f t="shared" si="23"/>
        <v>3.6798236611149393E-3</v>
      </c>
      <c r="EY35" s="29"/>
      <c r="EZ35" s="29"/>
      <c r="FA35" s="29"/>
      <c r="FB35" s="29"/>
      <c r="FC35" s="29"/>
      <c r="FD35" s="29"/>
      <c r="FE35" s="29"/>
      <c r="FF35" s="29">
        <v>31</v>
      </c>
      <c r="FG35" s="29">
        <f t="shared" si="0"/>
        <v>1.9477874452256718</v>
      </c>
      <c r="FH35" s="29">
        <f t="shared" si="5"/>
        <v>0.57893294576647536</v>
      </c>
      <c r="FI35" s="29">
        <f t="shared" si="6"/>
        <v>0.1895626341945966</v>
      </c>
      <c r="FJ35" s="29"/>
      <c r="FL35" s="29">
        <f t="shared" si="7"/>
        <v>0</v>
      </c>
      <c r="FM35" s="29">
        <f t="shared" si="8"/>
        <v>0</v>
      </c>
      <c r="FP35" s="29">
        <f t="shared" si="9"/>
        <v>0</v>
      </c>
      <c r="FQ35" s="29">
        <f t="shared" si="10"/>
        <v>0</v>
      </c>
      <c r="FT35" s="29">
        <f t="shared" si="24"/>
        <v>0.5</v>
      </c>
      <c r="FU35" s="29">
        <f t="shared" si="25"/>
        <v>8.450000000000002E-2</v>
      </c>
      <c r="GB35" s="51">
        <f t="shared" si="28"/>
        <v>0.16882153189481566</v>
      </c>
      <c r="GC35" s="51">
        <f t="shared" si="29"/>
        <v>3.6798236611149393E-3</v>
      </c>
      <c r="GK35" s="51">
        <v>31</v>
      </c>
      <c r="GL35" s="51">
        <f t="shared" si="15"/>
        <v>1.9477874452256718</v>
      </c>
      <c r="GM35" s="51">
        <f t="shared" si="16"/>
        <v>0.57893294576647536</v>
      </c>
      <c r="GN35" s="51">
        <f t="shared" si="17"/>
        <v>0.1895626341945966</v>
      </c>
      <c r="GQ35" s="51">
        <f t="shared" si="18"/>
        <v>0</v>
      </c>
      <c r="GR35" s="51">
        <f t="shared" si="19"/>
        <v>0</v>
      </c>
      <c r="GU35" s="51">
        <f t="shared" si="20"/>
        <v>0</v>
      </c>
      <c r="GV35" s="51">
        <f t="shared" si="21"/>
        <v>0</v>
      </c>
      <c r="GY35" s="51">
        <f t="shared" si="26"/>
        <v>0.5</v>
      </c>
      <c r="GZ35" s="51">
        <f t="shared" si="27"/>
        <v>8.450000000000002E-2</v>
      </c>
    </row>
    <row r="36" spans="2:208">
      <c r="B36" s="9"/>
      <c r="C36" s="10"/>
      <c r="D36" s="10"/>
      <c r="E36" s="10"/>
      <c r="F36" s="11"/>
      <c r="G36" s="12"/>
      <c r="H36" s="10"/>
      <c r="I36" s="10"/>
      <c r="J36" s="10"/>
      <c r="K36" s="10"/>
      <c r="L36" s="10"/>
      <c r="M36" s="10"/>
      <c r="N36" s="10"/>
      <c r="O36" s="10"/>
      <c r="P36" s="10"/>
      <c r="Q36" s="10"/>
      <c r="R36" s="10"/>
      <c r="S36" s="10"/>
      <c r="T36" s="10"/>
      <c r="U36" s="10"/>
      <c r="V36" s="10"/>
      <c r="W36" s="10"/>
      <c r="X36" s="10"/>
      <c r="Y36" s="10"/>
      <c r="Z36" s="10"/>
      <c r="AA36" s="10"/>
      <c r="AB36" s="10"/>
      <c r="AC36" s="10"/>
      <c r="AD36" s="10"/>
      <c r="AE36" s="13"/>
      <c r="AF36" s="14"/>
      <c r="AG36" s="10"/>
      <c r="AH36" s="10"/>
      <c r="AI36" s="10"/>
      <c r="AJ36" s="15"/>
      <c r="AK36" s="33"/>
      <c r="CE36" s="33"/>
      <c r="CF36" s="33"/>
      <c r="CG36" s="33"/>
      <c r="CM36" s="29">
        <v>240</v>
      </c>
      <c r="CN36" s="29">
        <v>0.24</v>
      </c>
      <c r="CO36" s="29">
        <f t="shared" ref="CO36:CO39" si="38">CU22</f>
        <v>4.5249999999999999E-2</v>
      </c>
      <c r="EG36" s="26"/>
      <c r="EH36" s="26"/>
      <c r="EI36" s="26">
        <v>5</v>
      </c>
      <c r="EJ36" s="26">
        <v>10</v>
      </c>
      <c r="EK36" s="26">
        <v>15</v>
      </c>
      <c r="EL36" s="26">
        <v>30</v>
      </c>
      <c r="EM36" s="26">
        <v>45</v>
      </c>
      <c r="EN36" s="26">
        <v>60</v>
      </c>
      <c r="EO36" s="26">
        <v>120</v>
      </c>
      <c r="EP36" s="26">
        <v>240</v>
      </c>
      <c r="EQ36" s="26">
        <v>480</v>
      </c>
      <c r="EU36" s="29"/>
      <c r="EV36" s="29"/>
      <c r="EW36" s="29">
        <f t="shared" si="22"/>
        <v>0.15608467594150136</v>
      </c>
      <c r="EX36" s="29">
        <f t="shared" si="23"/>
        <v>6.5268482755268808E-3</v>
      </c>
      <c r="EY36" s="29"/>
      <c r="EZ36" s="29"/>
      <c r="FA36" s="29"/>
      <c r="FB36" s="29"/>
      <c r="FC36" s="29"/>
      <c r="FD36" s="29"/>
      <c r="FE36" s="29"/>
      <c r="FF36" s="29">
        <v>32</v>
      </c>
      <c r="FG36" s="29">
        <f t="shared" si="0"/>
        <v>2.0106192982974678</v>
      </c>
      <c r="FH36" s="29">
        <f t="shared" si="5"/>
        <v>0.57144811573980581</v>
      </c>
      <c r="FI36" s="29">
        <f t="shared" si="6"/>
        <v>0.17226621253047819</v>
      </c>
      <c r="FJ36" s="29"/>
      <c r="FL36" s="29">
        <f t="shared" si="7"/>
        <v>0</v>
      </c>
      <c r="FM36" s="29">
        <f t="shared" si="8"/>
        <v>0</v>
      </c>
      <c r="FP36" s="29">
        <f t="shared" si="9"/>
        <v>0</v>
      </c>
      <c r="FQ36" s="29">
        <f t="shared" si="10"/>
        <v>0</v>
      </c>
      <c r="FT36" s="29">
        <f t="shared" si="24"/>
        <v>0.5</v>
      </c>
      <c r="FU36" s="29">
        <f t="shared" si="25"/>
        <v>8.450000000000002E-2</v>
      </c>
      <c r="GB36" s="51">
        <f t="shared" si="28"/>
        <v>0.15608467594150136</v>
      </c>
      <c r="GC36" s="51">
        <f t="shared" si="29"/>
        <v>6.5268482755268808E-3</v>
      </c>
      <c r="GK36" s="51">
        <v>32</v>
      </c>
      <c r="GL36" s="51">
        <f t="shared" si="15"/>
        <v>2.0106192982974678</v>
      </c>
      <c r="GM36" s="51">
        <f t="shared" si="16"/>
        <v>0.57144811573980581</v>
      </c>
      <c r="GN36" s="51">
        <f t="shared" si="17"/>
        <v>0.17226621253047819</v>
      </c>
      <c r="GQ36" s="51">
        <f t="shared" si="18"/>
        <v>0</v>
      </c>
      <c r="GR36" s="51">
        <f t="shared" si="19"/>
        <v>0</v>
      </c>
      <c r="GU36" s="51">
        <f t="shared" si="20"/>
        <v>0</v>
      </c>
      <c r="GV36" s="51">
        <f t="shared" si="21"/>
        <v>0</v>
      </c>
      <c r="GY36" s="51">
        <f t="shared" si="26"/>
        <v>0.5</v>
      </c>
      <c r="GZ36" s="51">
        <f t="shared" si="27"/>
        <v>8.450000000000002E-2</v>
      </c>
    </row>
    <row r="37" spans="2:208">
      <c r="B37" s="9"/>
      <c r="C37" s="10"/>
      <c r="D37" s="10"/>
      <c r="E37" s="10"/>
      <c r="F37" s="11"/>
      <c r="G37" s="12"/>
      <c r="H37" s="10"/>
      <c r="I37" s="10"/>
      <c r="J37" s="10"/>
      <c r="K37" s="10"/>
      <c r="L37" s="10"/>
      <c r="M37" s="10"/>
      <c r="N37" s="10"/>
      <c r="O37" s="10"/>
      <c r="P37" s="10"/>
      <c r="Q37" s="10"/>
      <c r="R37" s="10"/>
      <c r="S37" s="10"/>
      <c r="T37" s="10"/>
      <c r="U37" s="10"/>
      <c r="V37" s="10"/>
      <c r="W37" s="10"/>
      <c r="X37" s="10"/>
      <c r="Y37" s="10"/>
      <c r="Z37" s="10"/>
      <c r="AA37" s="10"/>
      <c r="AB37" s="10"/>
      <c r="AC37" s="10"/>
      <c r="AD37" s="10"/>
      <c r="AE37" s="13"/>
      <c r="AF37" s="14"/>
      <c r="AG37" s="10"/>
      <c r="AH37" s="10"/>
      <c r="AI37" s="10"/>
      <c r="AJ37" s="15"/>
      <c r="AK37" s="33"/>
      <c r="CE37" s="33"/>
      <c r="CF37" s="33"/>
      <c r="CG37" s="33"/>
      <c r="CI37" s="53" t="s">
        <v>93</v>
      </c>
      <c r="CJ37" s="56">
        <f>IF((HLOOKUP(M$116,CQ$5:CX$11,3,FALSE)&gt;M117),"N/A",HLOOKUP(M$116,CQ$5:CX$11,3,FALSE))</f>
        <v>225</v>
      </c>
      <c r="CK37" s="29" t="s">
        <v>71</v>
      </c>
      <c r="CM37" s="29">
        <v>265</v>
      </c>
      <c r="CN37" s="29">
        <v>0.26500000000000001</v>
      </c>
      <c r="CO37" s="29">
        <f t="shared" si="38"/>
        <v>5.0250000000000003E-2</v>
      </c>
      <c r="EG37" s="26" t="s">
        <v>38</v>
      </c>
      <c r="EH37" s="26">
        <v>1</v>
      </c>
      <c r="EI37" s="26">
        <v>34.9</v>
      </c>
      <c r="EJ37" s="26">
        <v>25</v>
      </c>
      <c r="EK37" s="26">
        <v>19.899999999999999</v>
      </c>
      <c r="EL37" s="26">
        <v>13.2</v>
      </c>
      <c r="EM37" s="26">
        <v>10.3</v>
      </c>
      <c r="EN37" s="26">
        <v>8.6</v>
      </c>
      <c r="EO37" s="26">
        <v>5.5</v>
      </c>
      <c r="EP37" s="26">
        <v>3.6</v>
      </c>
      <c r="EQ37" s="26">
        <v>2</v>
      </c>
      <c r="EU37" s="29"/>
      <c r="EV37" s="29"/>
      <c r="EW37" s="29">
        <f t="shared" si="22"/>
        <v>0.14355171941860462</v>
      </c>
      <c r="EX37" s="29">
        <f t="shared" si="23"/>
        <v>1.016800873968185E-2</v>
      </c>
      <c r="EY37" s="29"/>
      <c r="EZ37" s="29"/>
      <c r="FA37" s="29"/>
      <c r="FB37" s="29"/>
      <c r="FC37" s="29"/>
      <c r="FD37" s="29"/>
      <c r="FE37" s="29"/>
      <c r="FF37" s="29">
        <v>33</v>
      </c>
      <c r="FG37" s="29">
        <f t="shared" si="0"/>
        <v>2.0734511513692637</v>
      </c>
      <c r="FH37" s="29">
        <f t="shared" si="5"/>
        <v>0.56289200401315909</v>
      </c>
      <c r="FI37" s="29">
        <f t="shared" si="6"/>
        <v>0.15547389776948536</v>
      </c>
      <c r="FJ37" s="29"/>
      <c r="FL37" s="29">
        <f t="shared" si="7"/>
        <v>0</v>
      </c>
      <c r="FM37" s="29">
        <f t="shared" si="8"/>
        <v>0</v>
      </c>
      <c r="FP37" s="29">
        <f t="shared" si="9"/>
        <v>0</v>
      </c>
      <c r="FQ37" s="29">
        <f t="shared" si="10"/>
        <v>0</v>
      </c>
      <c r="FT37" s="29">
        <f t="shared" si="24"/>
        <v>0.5</v>
      </c>
      <c r="FU37" s="29">
        <f t="shared" si="25"/>
        <v>8.450000000000002E-2</v>
      </c>
      <c r="GB37" s="51">
        <f t="shared" si="28"/>
        <v>0.14355171941860462</v>
      </c>
      <c r="GC37" s="51">
        <f t="shared" si="29"/>
        <v>1.016800873968185E-2</v>
      </c>
      <c r="GK37" s="51">
        <v>33</v>
      </c>
      <c r="GL37" s="51">
        <f t="shared" si="15"/>
        <v>2.0734511513692637</v>
      </c>
      <c r="GM37" s="51">
        <f t="shared" si="16"/>
        <v>0.56289200401315909</v>
      </c>
      <c r="GN37" s="51">
        <f t="shared" si="17"/>
        <v>0.15547389776948536</v>
      </c>
      <c r="GQ37" s="51">
        <f t="shared" si="18"/>
        <v>0</v>
      </c>
      <c r="GR37" s="51">
        <f t="shared" si="19"/>
        <v>0</v>
      </c>
      <c r="GU37" s="51">
        <f t="shared" si="20"/>
        <v>0</v>
      </c>
      <c r="GV37" s="51">
        <f t="shared" si="21"/>
        <v>0</v>
      </c>
      <c r="GY37" s="51">
        <f t="shared" si="26"/>
        <v>0.5</v>
      </c>
      <c r="GZ37" s="51">
        <f t="shared" si="27"/>
        <v>8.450000000000002E-2</v>
      </c>
    </row>
    <row r="38" spans="2:208">
      <c r="B38" s="9"/>
      <c r="C38" s="10"/>
      <c r="D38" s="10"/>
      <c r="E38" s="10"/>
      <c r="F38" s="11"/>
      <c r="G38" s="12"/>
      <c r="H38" s="10"/>
      <c r="I38" s="10"/>
      <c r="J38" s="10"/>
      <c r="K38" s="10"/>
      <c r="L38" s="10"/>
      <c r="M38" s="10"/>
      <c r="N38" s="10"/>
      <c r="O38" s="10"/>
      <c r="P38" s="10"/>
      <c r="Q38" s="10"/>
      <c r="R38" s="10"/>
      <c r="S38" s="10"/>
      <c r="T38" s="10"/>
      <c r="U38" s="10"/>
      <c r="V38" s="10"/>
      <c r="W38" s="10"/>
      <c r="X38" s="10"/>
      <c r="Y38" s="10"/>
      <c r="Z38" s="10"/>
      <c r="AA38" s="10"/>
      <c r="AB38" s="10"/>
      <c r="AC38" s="10"/>
      <c r="AD38" s="10"/>
      <c r="AE38" s="13"/>
      <c r="AF38" s="14"/>
      <c r="AG38" s="10"/>
      <c r="AH38" s="10"/>
      <c r="AI38" s="10"/>
      <c r="AJ38" s="15"/>
      <c r="AK38" s="33"/>
      <c r="CE38" s="33"/>
      <c r="CF38" s="33"/>
      <c r="CG38" s="33"/>
      <c r="CH38" s="29" t="s">
        <v>73</v>
      </c>
      <c r="CI38" s="53" t="s">
        <v>74</v>
      </c>
      <c r="CJ38" s="56">
        <f>IF(CJ37="N/A","N/A",HLOOKUP(M$116,CQ$13:CX$19,3,FALSE))</f>
        <v>0.252</v>
      </c>
      <c r="CK38" s="29" t="s">
        <v>1</v>
      </c>
      <c r="CM38" s="29">
        <v>290</v>
      </c>
      <c r="CN38" s="29">
        <v>0.28999999999999998</v>
      </c>
      <c r="CO38" s="29">
        <f t="shared" si="38"/>
        <v>5.5249999999999994E-2</v>
      </c>
      <c r="EG38" s="26">
        <v>14</v>
      </c>
      <c r="EH38" s="26">
        <v>2</v>
      </c>
      <c r="EI38" s="26">
        <v>41.2</v>
      </c>
      <c r="EJ38" s="26">
        <v>30.7</v>
      </c>
      <c r="EK38" s="26">
        <v>25</v>
      </c>
      <c r="EL38" s="26">
        <v>16.899999999999999</v>
      </c>
      <c r="EM38" s="26">
        <v>13.3</v>
      </c>
      <c r="EN38" s="26">
        <v>11.1</v>
      </c>
      <c r="EO38" s="26">
        <v>7.1</v>
      </c>
      <c r="EP38" s="26">
        <v>4.5</v>
      </c>
      <c r="EQ38" s="26">
        <v>3</v>
      </c>
      <c r="EU38" s="29"/>
      <c r="EV38" s="29"/>
      <c r="EW38" s="29">
        <f t="shared" si="22"/>
        <v>0.13127212417975809</v>
      </c>
      <c r="EX38" s="29">
        <f t="shared" si="23"/>
        <v>1.4588935056715796E-2</v>
      </c>
      <c r="EY38" s="29"/>
      <c r="EZ38" s="29"/>
      <c r="FA38" s="29"/>
      <c r="FB38" s="29"/>
      <c r="FC38" s="29"/>
      <c r="FD38" s="29"/>
      <c r="FE38" s="29"/>
      <c r="FF38" s="29">
        <v>34</v>
      </c>
      <c r="FG38" s="29">
        <f t="shared" si="0"/>
        <v>2.1362830044410597</v>
      </c>
      <c r="FH38" s="29">
        <f t="shared" si="5"/>
        <v>0.55329837765060441</v>
      </c>
      <c r="FI38" s="29">
        <f t="shared" si="6"/>
        <v>0.13925196150630093</v>
      </c>
      <c r="FJ38" s="29"/>
      <c r="FL38" s="29">
        <f t="shared" si="7"/>
        <v>0</v>
      </c>
      <c r="FM38" s="29">
        <f t="shared" si="8"/>
        <v>0</v>
      </c>
      <c r="FP38" s="29">
        <f t="shared" si="9"/>
        <v>0</v>
      </c>
      <c r="FQ38" s="29">
        <f t="shared" si="10"/>
        <v>0</v>
      </c>
      <c r="FT38" s="29">
        <f t="shared" si="24"/>
        <v>0.5</v>
      </c>
      <c r="FU38" s="29">
        <f t="shared" si="25"/>
        <v>8.450000000000002E-2</v>
      </c>
      <c r="GB38" s="51">
        <f t="shared" si="28"/>
        <v>0.13127212417975809</v>
      </c>
      <c r="GC38" s="51">
        <f t="shared" si="29"/>
        <v>1.4588935056715796E-2</v>
      </c>
      <c r="GK38" s="51">
        <v>34</v>
      </c>
      <c r="GL38" s="51">
        <f t="shared" si="15"/>
        <v>2.1362830044410597</v>
      </c>
      <c r="GM38" s="51">
        <f t="shared" si="16"/>
        <v>0.55329837765060441</v>
      </c>
      <c r="GN38" s="51">
        <f t="shared" si="17"/>
        <v>0.13925196150630093</v>
      </c>
      <c r="GQ38" s="51">
        <f t="shared" si="18"/>
        <v>0</v>
      </c>
      <c r="GR38" s="51">
        <f t="shared" si="19"/>
        <v>0</v>
      </c>
      <c r="GU38" s="51">
        <f t="shared" si="20"/>
        <v>0</v>
      </c>
      <c r="GV38" s="51">
        <f t="shared" si="21"/>
        <v>0</v>
      </c>
      <c r="GY38" s="51">
        <f t="shared" si="26"/>
        <v>0.5</v>
      </c>
      <c r="GZ38" s="51">
        <f t="shared" si="27"/>
        <v>8.450000000000002E-2</v>
      </c>
    </row>
    <row r="39" spans="2:208">
      <c r="B39" s="9"/>
      <c r="C39" s="10"/>
      <c r="D39" s="10"/>
      <c r="E39" s="10"/>
      <c r="F39" s="11"/>
      <c r="G39" s="12"/>
      <c r="H39" s="10"/>
      <c r="I39" s="10"/>
      <c r="J39" s="10"/>
      <c r="K39" s="10"/>
      <c r="L39" s="10"/>
      <c r="M39" s="10"/>
      <c r="N39" s="10"/>
      <c r="O39" s="10"/>
      <c r="P39" s="10"/>
      <c r="Q39" s="10"/>
      <c r="R39" s="10"/>
      <c r="S39" s="10"/>
      <c r="T39" s="10"/>
      <c r="U39" s="10"/>
      <c r="V39" s="10"/>
      <c r="W39" s="10"/>
      <c r="X39" s="10"/>
      <c r="Y39" s="10"/>
      <c r="Z39" s="10"/>
      <c r="AA39" s="10"/>
      <c r="AB39" s="10"/>
      <c r="AC39" s="10"/>
      <c r="AD39" s="10"/>
      <c r="AE39" s="13"/>
      <c r="AF39" s="14"/>
      <c r="AG39" s="10"/>
      <c r="AH39" s="10"/>
      <c r="AI39" s="10"/>
      <c r="AJ39" s="15"/>
      <c r="AK39" s="33"/>
      <c r="CE39" s="33"/>
      <c r="CF39" s="33"/>
      <c r="CG39" s="33"/>
      <c r="CH39" s="29" t="s">
        <v>20</v>
      </c>
      <c r="CI39" s="53" t="s">
        <v>75</v>
      </c>
      <c r="CJ39" s="56">
        <f>IF(CJ37="N/A","N/A",HLOOKUP(M$116,CQ$21:CX$27,3,FALSE))</f>
        <v>4.3763000000000003E-2</v>
      </c>
      <c r="CK39" s="29" t="s">
        <v>48</v>
      </c>
      <c r="CM39" s="29">
        <v>315</v>
      </c>
      <c r="CN39" s="29">
        <v>0.315</v>
      </c>
      <c r="CO39" s="29">
        <f t="shared" si="38"/>
        <v>6.0249999999999998E-2</v>
      </c>
      <c r="EG39" s="26" t="s">
        <v>39</v>
      </c>
      <c r="EH39" s="26">
        <v>5</v>
      </c>
      <c r="EI39" s="26">
        <v>54.8</v>
      </c>
      <c r="EJ39" s="26">
        <v>40.5</v>
      </c>
      <c r="EK39" s="26">
        <v>32.9</v>
      </c>
      <c r="EL39" s="26">
        <v>22.1</v>
      </c>
      <c r="EM39" s="26">
        <v>17.2</v>
      </c>
      <c r="EN39" s="26">
        <v>14.3</v>
      </c>
      <c r="EO39" s="26">
        <v>9.1</v>
      </c>
      <c r="EP39" s="26">
        <v>5.7</v>
      </c>
      <c r="EQ39" s="26">
        <v>4</v>
      </c>
      <c r="EU39" s="29"/>
      <c r="EV39" s="29"/>
      <c r="EW39" s="29">
        <f t="shared" ref="EW39:EW57" si="39">($EX$6)*SIN(FG61)+($EX$6)</f>
        <v>0.11929435217735623</v>
      </c>
      <c r="EX39" s="29">
        <f t="shared" ref="EX39:EX57" si="40">($EX$6)*COS(FG61)+$EX$6</f>
        <v>1.9772179850184396E-2</v>
      </c>
      <c r="EY39" s="29"/>
      <c r="EZ39" s="29"/>
      <c r="FA39" s="29"/>
      <c r="FB39" s="29"/>
      <c r="FC39" s="29"/>
      <c r="FD39" s="29"/>
      <c r="FE39" s="29"/>
      <c r="FF39" s="29">
        <v>35</v>
      </c>
      <c r="FG39" s="29">
        <f t="shared" si="0"/>
        <v>2.1991148575128552</v>
      </c>
      <c r="FH39" s="29">
        <f t="shared" si="5"/>
        <v>0.54270509831248415</v>
      </c>
      <c r="FI39" s="29">
        <f t="shared" si="6"/>
        <v>0.12366442431225808</v>
      </c>
      <c r="FJ39" s="29"/>
      <c r="FL39" s="29">
        <f t="shared" si="7"/>
        <v>0</v>
      </c>
      <c r="FM39" s="29">
        <f t="shared" si="8"/>
        <v>0</v>
      </c>
      <c r="FP39" s="29">
        <f t="shared" si="9"/>
        <v>0</v>
      </c>
      <c r="FQ39" s="29">
        <f t="shared" si="10"/>
        <v>0</v>
      </c>
      <c r="FT39" s="29">
        <f t="shared" si="24"/>
        <v>0.5</v>
      </c>
      <c r="FU39" s="29">
        <f t="shared" si="25"/>
        <v>8.450000000000002E-2</v>
      </c>
      <c r="GB39" s="51">
        <f t="shared" si="28"/>
        <v>0.11929435217735623</v>
      </c>
      <c r="GC39" s="51">
        <f t="shared" si="29"/>
        <v>1.9772179850184396E-2</v>
      </c>
      <c r="GK39" s="51">
        <v>35</v>
      </c>
      <c r="GL39" s="51">
        <f t="shared" si="15"/>
        <v>2.1991148575128552</v>
      </c>
      <c r="GM39" s="51">
        <f t="shared" si="16"/>
        <v>0.54270509831248415</v>
      </c>
      <c r="GN39" s="51">
        <f t="shared" si="17"/>
        <v>0.12366442431225808</v>
      </c>
      <c r="GQ39" s="51">
        <f t="shared" si="18"/>
        <v>0</v>
      </c>
      <c r="GR39" s="51">
        <f t="shared" si="19"/>
        <v>0</v>
      </c>
      <c r="GU39" s="51">
        <f t="shared" si="20"/>
        <v>0</v>
      </c>
      <c r="GV39" s="51">
        <f t="shared" si="21"/>
        <v>0</v>
      </c>
      <c r="GY39" s="51">
        <f t="shared" si="26"/>
        <v>0.5</v>
      </c>
      <c r="GZ39" s="51">
        <f t="shared" si="27"/>
        <v>8.450000000000002E-2</v>
      </c>
    </row>
    <row r="40" spans="2:208">
      <c r="B40" s="9"/>
      <c r="C40" s="10"/>
      <c r="D40" s="10"/>
      <c r="E40" s="10"/>
      <c r="F40" s="11"/>
      <c r="G40" s="12"/>
      <c r="H40" s="10"/>
      <c r="I40" s="10"/>
      <c r="J40" s="10"/>
      <c r="K40" s="10"/>
      <c r="L40" s="10"/>
      <c r="M40" s="10"/>
      <c r="N40" s="10"/>
      <c r="O40" s="10"/>
      <c r="P40" s="10"/>
      <c r="Q40" s="10"/>
      <c r="R40" s="10"/>
      <c r="S40" s="10"/>
      <c r="T40" s="10"/>
      <c r="U40" s="10"/>
      <c r="V40" s="10"/>
      <c r="W40" s="10"/>
      <c r="X40" s="10"/>
      <c r="Y40" s="10"/>
      <c r="Z40" s="10"/>
      <c r="AA40" s="10"/>
      <c r="AB40" s="10"/>
      <c r="AC40" s="10"/>
      <c r="AD40" s="10"/>
      <c r="AE40" s="13"/>
      <c r="AF40" s="14"/>
      <c r="AG40" s="10"/>
      <c r="AH40" s="10"/>
      <c r="AI40" s="10"/>
      <c r="AJ40" s="15"/>
      <c r="AK40" s="33"/>
      <c r="CE40" s="33"/>
      <c r="CF40" s="33"/>
      <c r="CG40" s="33"/>
      <c r="CI40" s="53" t="s">
        <v>19</v>
      </c>
      <c r="CJ40" s="49">
        <v>17</v>
      </c>
      <c r="EG40" s="26">
        <v>0.3</v>
      </c>
      <c r="EH40" s="26">
        <v>10</v>
      </c>
      <c r="EI40" s="26">
        <v>62.3</v>
      </c>
      <c r="EJ40" s="26">
        <v>46.3</v>
      </c>
      <c r="EK40" s="26">
        <v>37.799999999999997</v>
      </c>
      <c r="EL40" s="26">
        <v>25.6</v>
      </c>
      <c r="EM40" s="26">
        <v>20</v>
      </c>
      <c r="EN40" s="26">
        <v>16.7</v>
      </c>
      <c r="EO40" s="26">
        <v>10.7</v>
      </c>
      <c r="EP40" s="26">
        <v>6.7</v>
      </c>
      <c r="EQ40" s="26">
        <v>4</v>
      </c>
      <c r="EU40" s="29"/>
      <c r="EV40" s="29"/>
      <c r="EW40" s="29">
        <f t="shared" si="39"/>
        <v>0.10766567420536871</v>
      </c>
      <c r="EX40" s="29">
        <f t="shared" si="40"/>
        <v>2.5697287220887322E-2</v>
      </c>
      <c r="EY40" s="29"/>
      <c r="EZ40" s="29"/>
      <c r="FA40" s="29"/>
      <c r="FB40" s="29"/>
      <c r="FC40" s="29"/>
      <c r="FD40" s="29"/>
      <c r="FE40" s="29"/>
      <c r="FF40" s="29">
        <v>36</v>
      </c>
      <c r="FG40" s="29">
        <f t="shared" si="0"/>
        <v>2.2619467105846511</v>
      </c>
      <c r="FH40" s="29">
        <f t="shared" si="5"/>
        <v>0.5311539728327368</v>
      </c>
      <c r="FI40" s="29">
        <f t="shared" si="6"/>
        <v>0.10877280307539308</v>
      </c>
      <c r="FJ40" s="29"/>
      <c r="FL40" s="29">
        <f t="shared" si="7"/>
        <v>0</v>
      </c>
      <c r="FM40" s="29">
        <f t="shared" si="8"/>
        <v>0</v>
      </c>
      <c r="FP40" s="29">
        <f t="shared" si="9"/>
        <v>0</v>
      </c>
      <c r="FQ40" s="29">
        <f t="shared" si="10"/>
        <v>0</v>
      </c>
      <c r="FT40" s="29">
        <f t="shared" si="24"/>
        <v>0.5</v>
      </c>
      <c r="FU40" s="29">
        <f t="shared" si="25"/>
        <v>8.450000000000002E-2</v>
      </c>
      <c r="GB40" s="51">
        <f t="shared" si="28"/>
        <v>0.10766567420536871</v>
      </c>
      <c r="GC40" s="51">
        <f t="shared" si="29"/>
        <v>2.5697287220887322E-2</v>
      </c>
      <c r="GK40" s="51">
        <v>36</v>
      </c>
      <c r="GL40" s="51">
        <f t="shared" si="15"/>
        <v>2.2619467105846511</v>
      </c>
      <c r="GM40" s="51">
        <f t="shared" si="16"/>
        <v>0.5311539728327368</v>
      </c>
      <c r="GN40" s="51">
        <f t="shared" si="17"/>
        <v>0.10877280307539308</v>
      </c>
      <c r="GQ40" s="51">
        <f t="shared" si="18"/>
        <v>0</v>
      </c>
      <c r="GR40" s="51">
        <f t="shared" si="19"/>
        <v>0</v>
      </c>
      <c r="GU40" s="51">
        <f t="shared" si="20"/>
        <v>0</v>
      </c>
      <c r="GV40" s="51">
        <f t="shared" si="21"/>
        <v>0</v>
      </c>
      <c r="GY40" s="51">
        <f t="shared" si="26"/>
        <v>0.5</v>
      </c>
      <c r="GZ40" s="51">
        <f t="shared" si="27"/>
        <v>8.450000000000002E-2</v>
      </c>
    </row>
    <row r="41" spans="2:208">
      <c r="B41" s="9"/>
      <c r="C41" s="10"/>
      <c r="D41" s="10"/>
      <c r="E41" s="10"/>
      <c r="F41" s="11"/>
      <c r="G41" s="12"/>
      <c r="H41" s="10"/>
      <c r="I41" s="10"/>
      <c r="J41" s="10"/>
      <c r="K41" s="10"/>
      <c r="L41" s="10"/>
      <c r="M41" s="10"/>
      <c r="N41" s="10"/>
      <c r="O41" s="10"/>
      <c r="P41" s="10"/>
      <c r="Q41" s="10"/>
      <c r="R41" s="10"/>
      <c r="S41" s="10"/>
      <c r="T41" s="10"/>
      <c r="U41" s="10"/>
      <c r="V41" s="10"/>
      <c r="W41" s="10"/>
      <c r="X41" s="10"/>
      <c r="Y41" s="10"/>
      <c r="Z41" s="10"/>
      <c r="AA41" s="10"/>
      <c r="AB41" s="10"/>
      <c r="AC41" s="10"/>
      <c r="AD41" s="10"/>
      <c r="AE41" s="13"/>
      <c r="AF41" s="14"/>
      <c r="AG41" s="10"/>
      <c r="AH41" s="10"/>
      <c r="AI41" s="10"/>
      <c r="AJ41" s="15"/>
      <c r="AK41" s="33"/>
      <c r="CE41" s="33"/>
      <c r="CF41" s="33"/>
      <c r="CG41" s="33"/>
      <c r="CI41" s="53" t="s">
        <v>94</v>
      </c>
      <c r="CJ41" s="51">
        <f>IF(CJ37="N/A","N/A",SUM(CJ$32+CJ$40))</f>
        <v>25</v>
      </c>
      <c r="CM41" s="29" t="s">
        <v>95</v>
      </c>
      <c r="EG41" s="26"/>
      <c r="EH41" s="26">
        <v>15</v>
      </c>
      <c r="EI41" s="26">
        <v>67.099999999999994</v>
      </c>
      <c r="EJ41" s="26">
        <v>50.1</v>
      </c>
      <c r="EK41" s="26">
        <v>41</v>
      </c>
      <c r="EL41" s="26">
        <v>27.9</v>
      </c>
      <c r="EM41" s="26">
        <v>21.8</v>
      </c>
      <c r="EN41" s="26">
        <v>18.3</v>
      </c>
      <c r="EO41" s="26">
        <v>11.7</v>
      </c>
      <c r="EP41" s="26">
        <v>7.4</v>
      </c>
      <c r="EQ41" s="26">
        <v>5</v>
      </c>
      <c r="EU41" s="29"/>
      <c r="EV41" s="29"/>
      <c r="EW41" s="29">
        <f t="shared" si="39"/>
        <v>9.6431983343113481E-2</v>
      </c>
      <c r="EX41" s="29">
        <f t="shared" si="40"/>
        <v>3.2340873476956356E-2</v>
      </c>
      <c r="EY41" s="29"/>
      <c r="EZ41" s="29"/>
      <c r="FA41" s="29"/>
      <c r="FB41" s="29"/>
      <c r="FC41" s="29"/>
      <c r="FD41" s="29"/>
      <c r="FE41" s="29"/>
      <c r="FF41" s="29">
        <v>37</v>
      </c>
      <c r="FG41" s="29">
        <f t="shared" si="0"/>
        <v>2.3247785636564471</v>
      </c>
      <c r="FH41" s="29">
        <f t="shared" si="5"/>
        <v>0.51869058822642344</v>
      </c>
      <c r="FI41" s="29">
        <f t="shared" si="6"/>
        <v>9.4635868221393388E-2</v>
      </c>
      <c r="FJ41" s="29"/>
      <c r="FL41" s="29">
        <f t="shared" si="7"/>
        <v>0</v>
      </c>
      <c r="FM41" s="29">
        <f t="shared" si="8"/>
        <v>0</v>
      </c>
      <c r="FP41" s="29">
        <f t="shared" si="9"/>
        <v>0</v>
      </c>
      <c r="FQ41" s="29">
        <f t="shared" si="10"/>
        <v>0</v>
      </c>
      <c r="FT41" s="29">
        <f t="shared" si="24"/>
        <v>0.5</v>
      </c>
      <c r="FU41" s="29">
        <f t="shared" si="25"/>
        <v>8.450000000000002E-2</v>
      </c>
      <c r="GB41" s="51">
        <f t="shared" si="28"/>
        <v>9.6431983343113481E-2</v>
      </c>
      <c r="GC41" s="51">
        <f t="shared" si="29"/>
        <v>3.2340873476956356E-2</v>
      </c>
      <c r="GK41" s="51">
        <v>37</v>
      </c>
      <c r="GL41" s="51">
        <f t="shared" si="15"/>
        <v>2.3247785636564471</v>
      </c>
      <c r="GM41" s="51">
        <f t="shared" si="16"/>
        <v>0.51869058822642344</v>
      </c>
      <c r="GN41" s="51">
        <f t="shared" si="17"/>
        <v>9.4635868221393388E-2</v>
      </c>
      <c r="GQ41" s="51">
        <f t="shared" si="18"/>
        <v>0</v>
      </c>
      <c r="GR41" s="51">
        <f t="shared" si="19"/>
        <v>0</v>
      </c>
      <c r="GU41" s="51">
        <f t="shared" si="20"/>
        <v>0</v>
      </c>
      <c r="GV41" s="51">
        <f t="shared" si="21"/>
        <v>0</v>
      </c>
      <c r="GY41" s="51">
        <f t="shared" si="26"/>
        <v>0.5</v>
      </c>
      <c r="GZ41" s="51">
        <f t="shared" si="27"/>
        <v>8.450000000000002E-2</v>
      </c>
    </row>
    <row r="42" spans="2:208">
      <c r="B42" s="9"/>
      <c r="C42" s="10"/>
      <c r="D42" s="10"/>
      <c r="E42" s="10"/>
      <c r="F42" s="11"/>
      <c r="G42" s="12"/>
      <c r="H42" s="10"/>
      <c r="I42" s="10"/>
      <c r="J42" s="10"/>
      <c r="K42" s="10"/>
      <c r="L42" s="10"/>
      <c r="M42" s="10"/>
      <c r="N42" s="10"/>
      <c r="O42" s="10"/>
      <c r="P42" s="10"/>
      <c r="Q42" s="10"/>
      <c r="R42" s="10"/>
      <c r="S42" s="10"/>
      <c r="T42" s="10"/>
      <c r="U42" s="10"/>
      <c r="V42" s="10"/>
      <c r="W42" s="10"/>
      <c r="X42" s="10"/>
      <c r="Y42" s="10"/>
      <c r="Z42" s="10"/>
      <c r="AA42" s="10"/>
      <c r="AB42" s="10"/>
      <c r="AC42" s="10"/>
      <c r="AD42" s="10"/>
      <c r="AE42" s="13"/>
      <c r="AF42" s="14"/>
      <c r="AG42" s="10"/>
      <c r="AH42" s="10"/>
      <c r="AI42" s="10"/>
      <c r="AJ42" s="15"/>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I42" s="53" t="s">
        <v>90</v>
      </c>
      <c r="CJ42" s="29">
        <f ca="1">IF(CJ37="N/A","N/A",CJ$27*CJ40+CJ33)</f>
        <v>110.94270833333333</v>
      </c>
      <c r="CM42" s="29">
        <v>135</v>
      </c>
      <c r="CN42" s="29">
        <v>0.13500000000000001</v>
      </c>
      <c r="CO42" s="29">
        <f t="shared" ref="CO42:CO45" si="41">CV22</f>
        <v>5.5050000000000002E-2</v>
      </c>
      <c r="EG42" s="26"/>
      <c r="EH42" s="26">
        <v>20</v>
      </c>
      <c r="EI42" s="26">
        <v>70.8</v>
      </c>
      <c r="EJ42" s="26">
        <v>53</v>
      </c>
      <c r="EK42" s="26">
        <v>43.4</v>
      </c>
      <c r="EL42" s="26">
        <v>29.6</v>
      </c>
      <c r="EM42" s="26">
        <v>23.2</v>
      </c>
      <c r="EN42" s="26">
        <v>19.399999999999999</v>
      </c>
      <c r="EO42" s="26">
        <v>12.5</v>
      </c>
      <c r="EP42" s="26">
        <v>7.9</v>
      </c>
      <c r="EQ42" s="26">
        <v>5</v>
      </c>
      <c r="EU42" s="29"/>
      <c r="EV42" s="29"/>
      <c r="EW42" s="29">
        <f t="shared" si="39"/>
        <v>8.5637613836238718E-2</v>
      </c>
      <c r="EX42" s="29">
        <f t="shared" si="40"/>
        <v>3.967671941860465E-2</v>
      </c>
      <c r="EY42" s="29"/>
      <c r="EZ42" s="29"/>
      <c r="FA42" s="29"/>
      <c r="FB42" s="29"/>
      <c r="FC42" s="29"/>
      <c r="FD42" s="29"/>
      <c r="FE42" s="29"/>
      <c r="FF42" s="29">
        <v>38</v>
      </c>
      <c r="FG42" s="29">
        <f t="shared" si="0"/>
        <v>2.3876104167282426</v>
      </c>
      <c r="FH42" s="29">
        <f t="shared" si="5"/>
        <v>0.50536413177860662</v>
      </c>
      <c r="FI42" s="29">
        <f t="shared" si="6"/>
        <v>8.130941177357659E-2</v>
      </c>
      <c r="FJ42" s="29"/>
      <c r="FL42" s="29">
        <f t="shared" si="7"/>
        <v>0</v>
      </c>
      <c r="FM42" s="29">
        <f t="shared" si="8"/>
        <v>0</v>
      </c>
      <c r="FP42" s="29">
        <f t="shared" si="9"/>
        <v>0</v>
      </c>
      <c r="FQ42" s="29">
        <f t="shared" si="10"/>
        <v>0</v>
      </c>
      <c r="FT42" s="29">
        <f t="shared" si="24"/>
        <v>0.5</v>
      </c>
      <c r="FU42" s="29">
        <f t="shared" si="25"/>
        <v>8.450000000000002E-2</v>
      </c>
      <c r="GB42" s="51">
        <f t="shared" si="28"/>
        <v>8.5637613836238718E-2</v>
      </c>
      <c r="GC42" s="51">
        <f t="shared" si="29"/>
        <v>3.967671941860465E-2</v>
      </c>
      <c r="GK42" s="51">
        <v>38</v>
      </c>
      <c r="GL42" s="51">
        <f t="shared" si="15"/>
        <v>2.3876104167282426</v>
      </c>
      <c r="GM42" s="51">
        <f t="shared" si="16"/>
        <v>0.50536413177860662</v>
      </c>
      <c r="GN42" s="51">
        <f t="shared" si="17"/>
        <v>8.130941177357659E-2</v>
      </c>
      <c r="GQ42" s="51">
        <f t="shared" si="18"/>
        <v>0</v>
      </c>
      <c r="GR42" s="51">
        <f t="shared" si="19"/>
        <v>0</v>
      </c>
      <c r="GU42" s="51">
        <f t="shared" si="20"/>
        <v>0</v>
      </c>
      <c r="GV42" s="51">
        <f t="shared" si="21"/>
        <v>0</v>
      </c>
      <c r="GY42" s="51">
        <f t="shared" si="26"/>
        <v>0.5</v>
      </c>
      <c r="GZ42" s="51">
        <f t="shared" si="27"/>
        <v>8.450000000000002E-2</v>
      </c>
    </row>
    <row r="43" spans="2:208">
      <c r="B43" s="9"/>
      <c r="C43" s="10"/>
      <c r="D43" s="10"/>
      <c r="E43" s="10"/>
      <c r="F43" s="11"/>
      <c r="G43" s="12"/>
      <c r="H43" s="10"/>
      <c r="I43" s="10"/>
      <c r="J43" s="10"/>
      <c r="K43" s="10"/>
      <c r="L43" s="10"/>
      <c r="M43" s="10"/>
      <c r="N43" s="10"/>
      <c r="O43" s="10"/>
      <c r="P43" s="10"/>
      <c r="Q43" s="10"/>
      <c r="R43" s="10"/>
      <c r="S43" s="10"/>
      <c r="T43" s="10"/>
      <c r="U43" s="10"/>
      <c r="V43" s="10"/>
      <c r="W43" s="10"/>
      <c r="X43" s="10"/>
      <c r="Y43" s="10"/>
      <c r="Z43" s="10"/>
      <c r="AA43" s="10"/>
      <c r="AB43" s="10"/>
      <c r="AC43" s="10"/>
      <c r="AD43" s="10"/>
      <c r="AE43" s="13"/>
      <c r="AF43" s="14"/>
      <c r="AG43" s="10"/>
      <c r="AH43" s="10"/>
      <c r="AI43" s="10"/>
      <c r="AJ43" s="15"/>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I43" s="53" t="s">
        <v>91</v>
      </c>
      <c r="CJ43" s="29">
        <f>IF(CJ37="N/A","N/A",(2.66*CJ39^1.25)*((6.74*(CJ$22/100)^0.7)+0.4+(CJ41/CJ38)*CJ$23)*1000)</f>
        <v>44.034861580946199</v>
      </c>
      <c r="CM43" s="29">
        <v>205</v>
      </c>
      <c r="CN43" s="29">
        <v>0.20499999999999999</v>
      </c>
      <c r="CO43" s="29">
        <f t="shared" si="41"/>
        <v>8.514999999999999E-2</v>
      </c>
      <c r="EG43" s="26"/>
      <c r="EH43" s="26">
        <v>25</v>
      </c>
      <c r="EI43" s="26">
        <v>73.7</v>
      </c>
      <c r="EJ43" s="26">
        <v>55.3</v>
      </c>
      <c r="EK43" s="26">
        <v>45.4</v>
      </c>
      <c r="EL43" s="26">
        <v>31.1</v>
      </c>
      <c r="EM43" s="26">
        <v>24.4</v>
      </c>
      <c r="EN43" s="26">
        <v>20.399999999999999</v>
      </c>
      <c r="EO43" s="26">
        <v>13.1</v>
      </c>
      <c r="EP43" s="26">
        <v>8.3000000000000007</v>
      </c>
      <c r="EQ43" s="26">
        <v>5</v>
      </c>
      <c r="EU43" s="29"/>
      <c r="EV43" s="29"/>
      <c r="EW43" s="29">
        <f t="shared" si="39"/>
        <v>7.5325166129709714E-2</v>
      </c>
      <c r="EX43" s="29">
        <f t="shared" si="40"/>
        <v>4.7675873813329772E-2</v>
      </c>
      <c r="EY43" s="29"/>
      <c r="EZ43" s="29"/>
      <c r="FA43" s="29"/>
      <c r="FB43" s="29"/>
      <c r="FC43" s="29"/>
      <c r="FD43" s="29"/>
      <c r="FE43" s="29"/>
      <c r="FF43" s="29">
        <v>39</v>
      </c>
      <c r="FG43" s="29">
        <f t="shared" si="0"/>
        <v>2.4504422698000385</v>
      </c>
      <c r="FH43" s="29">
        <f t="shared" si="5"/>
        <v>0.49122719692460692</v>
      </c>
      <c r="FI43" s="29">
        <f t="shared" si="6"/>
        <v>6.8846027167263263E-2</v>
      </c>
      <c r="FJ43" s="29"/>
      <c r="FL43" s="29">
        <f t="shared" si="7"/>
        <v>0</v>
      </c>
      <c r="FM43" s="29">
        <f t="shared" si="8"/>
        <v>0</v>
      </c>
      <c r="FP43" s="29">
        <f t="shared" si="9"/>
        <v>0</v>
      </c>
      <c r="FQ43" s="29">
        <f t="shared" si="10"/>
        <v>0</v>
      </c>
      <c r="FT43" s="29">
        <f t="shared" si="24"/>
        <v>0.5</v>
      </c>
      <c r="FU43" s="29">
        <f t="shared" si="25"/>
        <v>8.450000000000002E-2</v>
      </c>
      <c r="GB43" s="51">
        <f t="shared" si="28"/>
        <v>7.5325166129709714E-2</v>
      </c>
      <c r="GC43" s="51">
        <f t="shared" si="29"/>
        <v>4.7675873813329772E-2</v>
      </c>
      <c r="GK43" s="51">
        <v>39</v>
      </c>
      <c r="GL43" s="51">
        <f t="shared" si="15"/>
        <v>2.4504422698000385</v>
      </c>
      <c r="GM43" s="51">
        <f t="shared" si="16"/>
        <v>0.49122719692460692</v>
      </c>
      <c r="GN43" s="51">
        <f t="shared" si="17"/>
        <v>6.8846027167263263E-2</v>
      </c>
      <c r="GQ43" s="51">
        <f t="shared" si="18"/>
        <v>0</v>
      </c>
      <c r="GR43" s="51">
        <f t="shared" si="19"/>
        <v>0</v>
      </c>
      <c r="GU43" s="51">
        <f t="shared" si="20"/>
        <v>0</v>
      </c>
      <c r="GV43" s="51">
        <f t="shared" si="21"/>
        <v>0</v>
      </c>
      <c r="GY43" s="51">
        <f t="shared" si="26"/>
        <v>0.5</v>
      </c>
      <c r="GZ43" s="51">
        <f t="shared" si="27"/>
        <v>8.450000000000002E-2</v>
      </c>
    </row>
    <row r="44" spans="2:208">
      <c r="B44" s="9"/>
      <c r="C44" s="10"/>
      <c r="D44" s="10"/>
      <c r="E44" s="10"/>
      <c r="F44" s="11"/>
      <c r="G44" s="12"/>
      <c r="H44" s="10"/>
      <c r="I44" s="10"/>
      <c r="J44" s="10"/>
      <c r="K44" s="10"/>
      <c r="L44" s="10"/>
      <c r="M44" s="10"/>
      <c r="N44" s="10"/>
      <c r="O44" s="10"/>
      <c r="P44" s="10"/>
      <c r="Q44" s="10"/>
      <c r="R44" s="10"/>
      <c r="S44" s="10"/>
      <c r="T44" s="10"/>
      <c r="U44" s="10"/>
      <c r="V44" s="10"/>
      <c r="W44" s="10"/>
      <c r="X44" s="10"/>
      <c r="Y44" s="10"/>
      <c r="Z44" s="10"/>
      <c r="AA44" s="10"/>
      <c r="AB44" s="10"/>
      <c r="AC44" s="10"/>
      <c r="AD44" s="10"/>
      <c r="AE44" s="13"/>
      <c r="AF44" s="14"/>
      <c r="AG44" s="10"/>
      <c r="AH44" s="10"/>
      <c r="AI44" s="10"/>
      <c r="AJ44" s="15"/>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I44" s="53" t="str">
        <f ca="1">IF(CJ43&gt;CJ42*1.2,"Channel Length Can Be Increased",IF(CJ43&gt;CJ42,"Channel Length Is OK","Insufficient Capacity, Decrease Channel Length"))</f>
        <v>Insufficient Capacity, Decrease Channel Length</v>
      </c>
      <c r="CM44" s="29">
        <v>275</v>
      </c>
      <c r="CN44" s="29">
        <v>0.27500000000000002</v>
      </c>
      <c r="CO44" s="29">
        <f t="shared" si="41"/>
        <v>0.11525000000000001</v>
      </c>
      <c r="EG44" s="26"/>
      <c r="EH44" s="26">
        <v>30</v>
      </c>
      <c r="EI44" s="26">
        <v>76.3</v>
      </c>
      <c r="EJ44" s="26">
        <v>57.3</v>
      </c>
      <c r="EK44" s="26">
        <v>47</v>
      </c>
      <c r="EL44" s="26">
        <v>32.299999999999997</v>
      </c>
      <c r="EM44" s="26">
        <v>25.4</v>
      </c>
      <c r="EN44" s="26">
        <v>21.3</v>
      </c>
      <c r="EO44" s="26">
        <v>13.7</v>
      </c>
      <c r="EP44" s="26">
        <v>8.6</v>
      </c>
      <c r="EQ44" s="26">
        <v>5</v>
      </c>
      <c r="EU44" s="29"/>
      <c r="EV44" s="29"/>
      <c r="EW44" s="29">
        <f t="shared" si="39"/>
        <v>6.5535338743314908E-2</v>
      </c>
      <c r="EX44" s="29">
        <f t="shared" si="40"/>
        <v>5.630676765320175E-2</v>
      </c>
      <c r="EY44" s="29"/>
      <c r="EZ44" s="29"/>
      <c r="FA44" s="29"/>
      <c r="FB44" s="29"/>
      <c r="FC44" s="29"/>
      <c r="FD44" s="29"/>
      <c r="FE44" s="29"/>
      <c r="FF44" s="29">
        <v>40</v>
      </c>
      <c r="FG44" s="29">
        <f t="shared" si="0"/>
        <v>2.5132741228718345</v>
      </c>
      <c r="FH44" s="29">
        <f t="shared" si="5"/>
        <v>0.47633557568774199</v>
      </c>
      <c r="FI44" s="29">
        <f t="shared" si="6"/>
        <v>5.7294901687515803E-2</v>
      </c>
      <c r="FJ44" s="29"/>
      <c r="FL44" s="29">
        <f t="shared" si="7"/>
        <v>0</v>
      </c>
      <c r="FM44" s="29">
        <f t="shared" si="8"/>
        <v>0</v>
      </c>
      <c r="FP44" s="29">
        <f t="shared" si="9"/>
        <v>0</v>
      </c>
      <c r="FQ44" s="29">
        <f t="shared" si="10"/>
        <v>0</v>
      </c>
      <c r="FT44" s="29">
        <f t="shared" si="24"/>
        <v>0.5</v>
      </c>
      <c r="FU44" s="29">
        <f t="shared" si="25"/>
        <v>8.450000000000002E-2</v>
      </c>
      <c r="GB44" s="51">
        <f t="shared" si="28"/>
        <v>6.5535338743314908E-2</v>
      </c>
      <c r="GC44" s="51">
        <f t="shared" si="29"/>
        <v>5.630676765320175E-2</v>
      </c>
      <c r="GK44" s="51">
        <v>40</v>
      </c>
      <c r="GL44" s="51">
        <f t="shared" si="15"/>
        <v>2.5132741228718345</v>
      </c>
      <c r="GM44" s="51">
        <f t="shared" si="16"/>
        <v>0.47633557568774199</v>
      </c>
      <c r="GN44" s="51">
        <f t="shared" si="17"/>
        <v>5.7294901687515803E-2</v>
      </c>
      <c r="GQ44" s="51">
        <f t="shared" si="18"/>
        <v>0</v>
      </c>
      <c r="GR44" s="51">
        <f t="shared" si="19"/>
        <v>0</v>
      </c>
      <c r="GU44" s="51">
        <f t="shared" si="20"/>
        <v>0</v>
      </c>
      <c r="GV44" s="51">
        <f t="shared" si="21"/>
        <v>0</v>
      </c>
      <c r="GY44" s="51">
        <f t="shared" si="26"/>
        <v>0.5</v>
      </c>
      <c r="GZ44" s="51">
        <f t="shared" si="27"/>
        <v>8.450000000000002E-2</v>
      </c>
    </row>
    <row r="45" spans="2:208">
      <c r="B45" s="9"/>
      <c r="C45" s="10"/>
      <c r="D45" s="10"/>
      <c r="E45" s="10"/>
      <c r="F45" s="11"/>
      <c r="G45" s="12"/>
      <c r="H45" s="10"/>
      <c r="I45" s="10"/>
      <c r="J45" s="10"/>
      <c r="K45" s="10"/>
      <c r="L45" s="10"/>
      <c r="M45" s="10"/>
      <c r="N45" s="10"/>
      <c r="O45" s="10"/>
      <c r="P45" s="10"/>
      <c r="Q45" s="10"/>
      <c r="R45" s="10"/>
      <c r="S45" s="10"/>
      <c r="T45" s="10"/>
      <c r="U45" s="10"/>
      <c r="V45" s="10"/>
      <c r="W45" s="10"/>
      <c r="X45" s="10"/>
      <c r="Y45" s="10"/>
      <c r="Z45" s="10"/>
      <c r="AA45" s="10"/>
      <c r="AB45" s="10"/>
      <c r="AC45" s="10"/>
      <c r="AD45" s="10"/>
      <c r="AE45" s="13"/>
      <c r="AF45" s="14"/>
      <c r="AG45" s="10"/>
      <c r="AH45" s="10"/>
      <c r="AI45" s="10"/>
      <c r="AJ45" s="15"/>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M45" s="29">
        <v>555</v>
      </c>
      <c r="CN45" s="29">
        <v>0.55500000000000005</v>
      </c>
      <c r="CO45" s="29">
        <f t="shared" si="41"/>
        <v>0.23565000000000003</v>
      </c>
      <c r="EG45" s="26"/>
      <c r="EH45" s="26">
        <v>50</v>
      </c>
      <c r="EI45" s="26">
        <v>83.8</v>
      </c>
      <c r="EJ45" s="26">
        <v>63.2</v>
      </c>
      <c r="EK45" s="26">
        <v>52.1</v>
      </c>
      <c r="EL45" s="26">
        <v>36</v>
      </c>
      <c r="EM45" s="26">
        <v>28.3</v>
      </c>
      <c r="EN45" s="26">
        <v>23.8</v>
      </c>
      <c r="EO45" s="26">
        <v>15.3</v>
      </c>
      <c r="EP45" s="26">
        <v>9.6999999999999993</v>
      </c>
      <c r="EQ45" s="26">
        <v>6</v>
      </c>
      <c r="EU45" s="29"/>
      <c r="EV45" s="29"/>
      <c r="EW45" s="29">
        <f t="shared" si="39"/>
        <v>5.6306767653201806E-2</v>
      </c>
      <c r="EX45" s="29">
        <f t="shared" si="40"/>
        <v>6.553533874331488E-2</v>
      </c>
      <c r="EY45" s="29"/>
      <c r="EZ45" s="29"/>
      <c r="FA45" s="29"/>
      <c r="FB45" s="29"/>
      <c r="FC45" s="29"/>
      <c r="FD45" s="29"/>
      <c r="FE45" s="29"/>
      <c r="FF45" s="29">
        <v>41</v>
      </c>
      <c r="FG45" s="29">
        <f t="shared" si="0"/>
        <v>2.57610597594363</v>
      </c>
      <c r="FH45" s="29">
        <f t="shared" si="5"/>
        <v>0.46074803849369905</v>
      </c>
      <c r="FI45" s="29">
        <f t="shared" si="6"/>
        <v>4.6701622349395566E-2</v>
      </c>
      <c r="FJ45" s="29"/>
      <c r="FL45" s="29">
        <f t="shared" si="7"/>
        <v>0</v>
      </c>
      <c r="FM45" s="29">
        <f t="shared" si="8"/>
        <v>0</v>
      </c>
      <c r="FP45" s="29">
        <f t="shared" si="9"/>
        <v>0</v>
      </c>
      <c r="FQ45" s="29">
        <f t="shared" si="10"/>
        <v>0</v>
      </c>
      <c r="FT45" s="29">
        <f t="shared" si="24"/>
        <v>0.5</v>
      </c>
      <c r="FU45" s="29">
        <f t="shared" si="25"/>
        <v>8.450000000000002E-2</v>
      </c>
      <c r="GB45" s="51">
        <f t="shared" si="28"/>
        <v>5.6306767653201806E-2</v>
      </c>
      <c r="GC45" s="51">
        <f t="shared" si="29"/>
        <v>6.553533874331488E-2</v>
      </c>
      <c r="GK45" s="51">
        <v>41</v>
      </c>
      <c r="GL45" s="51">
        <f t="shared" si="15"/>
        <v>2.57610597594363</v>
      </c>
      <c r="GM45" s="51">
        <f t="shared" si="16"/>
        <v>0.46074803849369905</v>
      </c>
      <c r="GN45" s="51">
        <f t="shared" si="17"/>
        <v>4.6701622349395566E-2</v>
      </c>
      <c r="GQ45" s="51">
        <f t="shared" si="18"/>
        <v>0</v>
      </c>
      <c r="GR45" s="51">
        <f t="shared" si="19"/>
        <v>0</v>
      </c>
      <c r="GU45" s="51">
        <f t="shared" si="20"/>
        <v>0</v>
      </c>
      <c r="GV45" s="51">
        <f t="shared" si="21"/>
        <v>0</v>
      </c>
      <c r="GY45" s="51">
        <f t="shared" si="26"/>
        <v>0.5</v>
      </c>
      <c r="GZ45" s="51">
        <f t="shared" si="27"/>
        <v>8.450000000000002E-2</v>
      </c>
    </row>
    <row r="46" spans="2:208">
      <c r="B46" s="9"/>
      <c r="C46" s="10"/>
      <c r="D46" s="10"/>
      <c r="E46" s="10"/>
      <c r="F46" s="11"/>
      <c r="G46" s="12"/>
      <c r="H46" s="10"/>
      <c r="I46" s="10"/>
      <c r="J46" s="10"/>
      <c r="K46" s="10"/>
      <c r="L46" s="10"/>
      <c r="M46" s="10"/>
      <c r="N46" s="10"/>
      <c r="O46" s="10"/>
      <c r="P46" s="10"/>
      <c r="Q46" s="10"/>
      <c r="R46" s="10"/>
      <c r="S46" s="10"/>
      <c r="T46" s="10"/>
      <c r="U46" s="10"/>
      <c r="V46" s="10"/>
      <c r="W46" s="10"/>
      <c r="X46" s="10"/>
      <c r="Y46" s="10"/>
      <c r="Z46" s="10"/>
      <c r="AA46" s="10"/>
      <c r="AB46" s="10"/>
      <c r="AC46" s="10"/>
      <c r="AD46" s="10"/>
      <c r="AE46" s="13"/>
      <c r="AF46" s="14"/>
      <c r="AG46" s="10"/>
      <c r="AH46" s="10"/>
      <c r="AI46" s="10"/>
      <c r="AJ46" s="15"/>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I46" s="53" t="s">
        <v>96</v>
      </c>
      <c r="CJ46" s="56">
        <f>IF(HLOOKUP(M$116,CQ$5:CX$11,4,FALSE)&gt;M117,"N/A",HLOOKUP(M$116,CQ$5:CX$11,4,FALSE))</f>
        <v>300</v>
      </c>
      <c r="CK46" s="29" t="s">
        <v>71</v>
      </c>
      <c r="EG46" s="26"/>
      <c r="EH46" s="26">
        <v>100</v>
      </c>
      <c r="EI46" s="26">
        <v>95.3</v>
      </c>
      <c r="EJ46" s="26">
        <v>72.3</v>
      </c>
      <c r="EK46" s="26">
        <v>59.8</v>
      </c>
      <c r="EL46" s="26">
        <v>41.7</v>
      </c>
      <c r="EM46" s="26">
        <v>32.9</v>
      </c>
      <c r="EN46" s="26">
        <v>27.7</v>
      </c>
      <c r="EO46" s="26">
        <v>17.899999999999999</v>
      </c>
      <c r="EP46" s="26">
        <v>11.3</v>
      </c>
      <c r="EQ46" s="26">
        <v>7</v>
      </c>
      <c r="EU46" s="29"/>
      <c r="EV46" s="29"/>
      <c r="EW46" s="29">
        <f t="shared" si="39"/>
        <v>4.7675873813329744E-2</v>
      </c>
      <c r="EX46" s="29">
        <f t="shared" si="40"/>
        <v>7.5325166129709742E-2</v>
      </c>
      <c r="EY46" s="29"/>
      <c r="EZ46" s="29"/>
      <c r="FA46" s="29"/>
      <c r="FB46" s="29"/>
      <c r="FC46" s="29"/>
      <c r="FD46" s="29"/>
      <c r="FE46" s="29"/>
      <c r="FF46" s="29">
        <v>42</v>
      </c>
      <c r="FG46" s="29">
        <f t="shared" si="0"/>
        <v>2.638937829015426</v>
      </c>
      <c r="FH46" s="29">
        <f t="shared" si="5"/>
        <v>0.4445261022305147</v>
      </c>
      <c r="FI46" s="29">
        <f t="shared" si="6"/>
        <v>3.7107995986841003E-2</v>
      </c>
      <c r="FJ46" s="29"/>
      <c r="FL46" s="29">
        <f t="shared" si="7"/>
        <v>0</v>
      </c>
      <c r="FM46" s="29">
        <f t="shared" si="8"/>
        <v>0</v>
      </c>
      <c r="FP46" s="29">
        <f t="shared" si="9"/>
        <v>0</v>
      </c>
      <c r="FQ46" s="29">
        <f t="shared" si="10"/>
        <v>0</v>
      </c>
      <c r="FT46" s="29">
        <f t="shared" si="24"/>
        <v>0.5</v>
      </c>
      <c r="FU46" s="29">
        <f t="shared" si="25"/>
        <v>8.450000000000002E-2</v>
      </c>
      <c r="GB46" s="51">
        <f t="shared" si="28"/>
        <v>4.7675873813329744E-2</v>
      </c>
      <c r="GC46" s="51">
        <f t="shared" si="29"/>
        <v>7.5325166129709742E-2</v>
      </c>
      <c r="GK46" s="51">
        <v>42</v>
      </c>
      <c r="GL46" s="51">
        <f t="shared" si="15"/>
        <v>2.638937829015426</v>
      </c>
      <c r="GM46" s="51">
        <f t="shared" si="16"/>
        <v>0.4445261022305147</v>
      </c>
      <c r="GN46" s="51">
        <f t="shared" si="17"/>
        <v>3.7107995986841003E-2</v>
      </c>
      <c r="GQ46" s="51">
        <f t="shared" si="18"/>
        <v>0</v>
      </c>
      <c r="GR46" s="51">
        <f t="shared" si="19"/>
        <v>0</v>
      </c>
      <c r="GU46" s="51">
        <f t="shared" si="20"/>
        <v>0</v>
      </c>
      <c r="GV46" s="51">
        <f t="shared" si="21"/>
        <v>0</v>
      </c>
      <c r="GY46" s="51">
        <f t="shared" si="26"/>
        <v>0.5</v>
      </c>
      <c r="GZ46" s="51">
        <f t="shared" si="27"/>
        <v>8.450000000000002E-2</v>
      </c>
    </row>
    <row r="47" spans="2:208">
      <c r="B47" s="9"/>
      <c r="C47" s="10"/>
      <c r="D47" s="10"/>
      <c r="E47" s="10"/>
      <c r="F47" s="11"/>
      <c r="G47" s="12"/>
      <c r="H47" s="10"/>
      <c r="I47" s="10"/>
      <c r="J47" s="10"/>
      <c r="K47" s="10"/>
      <c r="L47" s="10"/>
      <c r="M47" s="10"/>
      <c r="N47" s="10"/>
      <c r="O47" s="10"/>
      <c r="P47" s="10"/>
      <c r="Q47" s="10"/>
      <c r="R47" s="10"/>
      <c r="S47" s="10"/>
      <c r="T47" s="10"/>
      <c r="U47" s="10"/>
      <c r="V47" s="10"/>
      <c r="W47" s="10"/>
      <c r="X47" s="10"/>
      <c r="Y47" s="10"/>
      <c r="Z47" s="10"/>
      <c r="AA47" s="10"/>
      <c r="AB47" s="10"/>
      <c r="AC47" s="10"/>
      <c r="AD47" s="10"/>
      <c r="AE47" s="13"/>
      <c r="AF47" s="14"/>
      <c r="AG47" s="10"/>
      <c r="AH47" s="10"/>
      <c r="AI47" s="10"/>
      <c r="AJ47" s="15"/>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29" t="s">
        <v>73</v>
      </c>
      <c r="CI47" s="53" t="s">
        <v>74</v>
      </c>
      <c r="CJ47" s="56">
        <f>IF(CJ46="N/A","N/A",HLOOKUP(M$116,CQ$13:CX$19,4,FALSE))</f>
        <v>0.33800000000000002</v>
      </c>
      <c r="CK47" s="29" t="s">
        <v>1</v>
      </c>
      <c r="CM47" s="29" t="s">
        <v>97</v>
      </c>
      <c r="EG47" s="26"/>
      <c r="EH47" s="26">
        <v>500</v>
      </c>
      <c r="EI47" s="26">
        <v>128.19999999999999</v>
      </c>
      <c r="EJ47" s="26">
        <v>98.7</v>
      </c>
      <c r="EK47" s="26">
        <v>82.5</v>
      </c>
      <c r="EL47" s="26">
        <v>58.6</v>
      </c>
      <c r="EM47" s="26">
        <v>46.7</v>
      </c>
      <c r="EN47" s="26">
        <v>39.4</v>
      </c>
      <c r="EO47" s="26">
        <v>25.8</v>
      </c>
      <c r="EP47" s="26">
        <v>16.399999999999999</v>
      </c>
      <c r="EQ47" s="26">
        <v>10</v>
      </c>
      <c r="EU47" s="29"/>
      <c r="EV47" s="29"/>
      <c r="EW47" s="29">
        <f t="shared" si="39"/>
        <v>3.9676719418604678E-2</v>
      </c>
      <c r="EX47" s="29">
        <f t="shared" si="40"/>
        <v>8.5637613836238677E-2</v>
      </c>
      <c r="EY47" s="29"/>
      <c r="EZ47" s="29"/>
      <c r="FA47" s="29"/>
      <c r="FB47" s="29"/>
      <c r="FC47" s="29"/>
      <c r="FD47" s="29"/>
      <c r="FE47" s="29"/>
      <c r="FF47" s="29">
        <v>43</v>
      </c>
      <c r="FG47" s="29">
        <f t="shared" si="0"/>
        <v>2.7017696820872219</v>
      </c>
      <c r="FH47" s="29">
        <f t="shared" si="5"/>
        <v>0.42773378746952184</v>
      </c>
      <c r="FI47" s="29">
        <f t="shared" si="6"/>
        <v>2.8551884260194171E-2</v>
      </c>
      <c r="FJ47" s="29"/>
      <c r="FL47" s="29">
        <f t="shared" si="7"/>
        <v>0</v>
      </c>
      <c r="FM47" s="29">
        <f t="shared" si="8"/>
        <v>0</v>
      </c>
      <c r="FP47" s="29">
        <f t="shared" si="9"/>
        <v>0</v>
      </c>
      <c r="FQ47" s="29">
        <f t="shared" si="10"/>
        <v>0</v>
      </c>
      <c r="FT47" s="29">
        <f t="shared" si="24"/>
        <v>0.5</v>
      </c>
      <c r="FU47" s="29">
        <f t="shared" si="25"/>
        <v>8.450000000000002E-2</v>
      </c>
      <c r="GB47" s="51">
        <f t="shared" si="28"/>
        <v>3.9676719418604678E-2</v>
      </c>
      <c r="GC47" s="51">
        <f t="shared" si="29"/>
        <v>8.5637613836238677E-2</v>
      </c>
      <c r="GK47" s="51">
        <v>43</v>
      </c>
      <c r="GL47" s="51">
        <f t="shared" si="15"/>
        <v>2.7017696820872219</v>
      </c>
      <c r="GM47" s="51">
        <f t="shared" si="16"/>
        <v>0.42773378746952184</v>
      </c>
      <c r="GN47" s="51">
        <f t="shared" si="17"/>
        <v>2.8551884260194171E-2</v>
      </c>
      <c r="GQ47" s="51">
        <f t="shared" si="18"/>
        <v>0</v>
      </c>
      <c r="GR47" s="51">
        <f t="shared" si="19"/>
        <v>0</v>
      </c>
      <c r="GU47" s="51">
        <f t="shared" si="20"/>
        <v>0</v>
      </c>
      <c r="GV47" s="51">
        <f t="shared" si="21"/>
        <v>0</v>
      </c>
      <c r="GY47" s="51">
        <f t="shared" si="26"/>
        <v>0.5</v>
      </c>
      <c r="GZ47" s="51">
        <f t="shared" si="27"/>
        <v>8.450000000000002E-2</v>
      </c>
    </row>
    <row r="48" spans="2:208">
      <c r="B48" s="9"/>
      <c r="C48" s="10"/>
      <c r="D48" s="10"/>
      <c r="E48" s="10"/>
      <c r="F48" s="11"/>
      <c r="G48" s="12"/>
      <c r="H48" s="10"/>
      <c r="I48" s="10"/>
      <c r="J48" s="10"/>
      <c r="K48" s="10"/>
      <c r="L48" s="10"/>
      <c r="M48" s="10"/>
      <c r="N48" s="10"/>
      <c r="O48" s="10"/>
      <c r="P48" s="10"/>
      <c r="Q48" s="10"/>
      <c r="R48" s="10"/>
      <c r="S48" s="10"/>
      <c r="T48" s="10"/>
      <c r="U48" s="10"/>
      <c r="V48" s="10"/>
      <c r="W48" s="10"/>
      <c r="X48" s="10"/>
      <c r="Y48" s="10"/>
      <c r="Z48" s="10"/>
      <c r="AA48" s="10"/>
      <c r="AB48" s="10"/>
      <c r="AC48" s="10"/>
      <c r="AD48" s="10"/>
      <c r="AE48" s="13"/>
      <c r="AF48" s="14"/>
      <c r="AG48" s="10"/>
      <c r="AH48" s="10"/>
      <c r="AI48" s="10"/>
      <c r="AJ48" s="15"/>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29" t="s">
        <v>20</v>
      </c>
      <c r="CI48" s="53" t="s">
        <v>75</v>
      </c>
      <c r="CJ48" s="56">
        <f>IF(CJ46="N/A","N/A",HLOOKUP(M$116,CQ$21:CX$27,4,FALSE))</f>
        <v>7.7676999999999996E-2</v>
      </c>
      <c r="CK48" s="29" t="s">
        <v>48</v>
      </c>
      <c r="CM48" s="29">
        <v>135</v>
      </c>
      <c r="CN48" s="29">
        <v>0.13500000000000001</v>
      </c>
      <c r="CO48" s="29">
        <f t="shared" ref="CO48:CO51" si="42">CW22</f>
        <v>1.8225000000000002E-2</v>
      </c>
      <c r="EG48" s="26"/>
      <c r="EH48" s="26">
        <v>1000</v>
      </c>
      <c r="EI48" s="26">
        <v>145.69999999999999</v>
      </c>
      <c r="EJ48" s="26">
        <v>112.9</v>
      </c>
      <c r="EK48" s="26">
        <v>94.8</v>
      </c>
      <c r="EL48" s="26">
        <v>67.8</v>
      </c>
      <c r="EM48" s="26">
        <v>54.2</v>
      </c>
      <c r="EN48" s="26">
        <v>45.9</v>
      </c>
      <c r="EO48" s="26">
        <v>30.1</v>
      </c>
      <c r="EP48" s="26">
        <v>19.2</v>
      </c>
      <c r="EQ48" s="26">
        <v>12</v>
      </c>
      <c r="EU48" s="29"/>
      <c r="EV48" s="29"/>
      <c r="EW48" s="29">
        <f t="shared" si="39"/>
        <v>3.2340873476956328E-2</v>
      </c>
      <c r="EX48" s="29">
        <f t="shared" si="40"/>
        <v>9.6431983343113509E-2</v>
      </c>
      <c r="EY48" s="29"/>
      <c r="EZ48" s="29"/>
      <c r="FA48" s="29"/>
      <c r="FB48" s="29"/>
      <c r="FC48" s="29"/>
      <c r="FD48" s="29"/>
      <c r="FE48" s="29"/>
      <c r="FF48" s="29">
        <v>44</v>
      </c>
      <c r="FG48" s="29">
        <f t="shared" si="0"/>
        <v>2.7646015351590179</v>
      </c>
      <c r="FH48" s="29">
        <f t="shared" si="5"/>
        <v>0.41043736580540341</v>
      </c>
      <c r="FI48" s="29">
        <f t="shared" si="6"/>
        <v>2.1067054233524618E-2</v>
      </c>
      <c r="FJ48" s="29"/>
      <c r="FL48" s="29">
        <f t="shared" si="7"/>
        <v>0</v>
      </c>
      <c r="FM48" s="29">
        <f t="shared" si="8"/>
        <v>0</v>
      </c>
      <c r="FP48" s="29">
        <f t="shared" si="9"/>
        <v>0</v>
      </c>
      <c r="FQ48" s="29">
        <f t="shared" si="10"/>
        <v>0</v>
      </c>
      <c r="FT48" s="29">
        <f t="shared" si="24"/>
        <v>0.5</v>
      </c>
      <c r="FU48" s="29">
        <f t="shared" si="25"/>
        <v>8.450000000000002E-2</v>
      </c>
      <c r="GB48" s="51">
        <f t="shared" si="28"/>
        <v>3.2340873476956328E-2</v>
      </c>
      <c r="GC48" s="51">
        <f t="shared" si="29"/>
        <v>9.6431983343113509E-2</v>
      </c>
      <c r="GK48" s="51">
        <v>44</v>
      </c>
      <c r="GL48" s="51">
        <f t="shared" si="15"/>
        <v>2.7646015351590179</v>
      </c>
      <c r="GM48" s="51">
        <f t="shared" si="16"/>
        <v>0.41043736580540341</v>
      </c>
      <c r="GN48" s="51">
        <f t="shared" si="17"/>
        <v>2.1067054233524618E-2</v>
      </c>
      <c r="GQ48" s="51">
        <f t="shared" si="18"/>
        <v>0</v>
      </c>
      <c r="GR48" s="51">
        <f t="shared" si="19"/>
        <v>0</v>
      </c>
      <c r="GU48" s="51">
        <f t="shared" si="20"/>
        <v>0</v>
      </c>
      <c r="GV48" s="51">
        <f t="shared" si="21"/>
        <v>0</v>
      </c>
      <c r="GY48" s="51">
        <f t="shared" si="26"/>
        <v>0.5</v>
      </c>
      <c r="GZ48" s="51">
        <f t="shared" si="27"/>
        <v>8.450000000000002E-2</v>
      </c>
    </row>
    <row r="49" spans="2:208">
      <c r="B49" s="9"/>
      <c r="C49" s="10"/>
      <c r="D49" s="10"/>
      <c r="E49" s="10"/>
      <c r="F49" s="11"/>
      <c r="G49" s="12"/>
      <c r="H49" s="10"/>
      <c r="I49" s="10"/>
      <c r="J49" s="10"/>
      <c r="K49" s="10"/>
      <c r="L49" s="10"/>
      <c r="M49" s="10"/>
      <c r="N49" s="10"/>
      <c r="O49" s="10"/>
      <c r="P49" s="10"/>
      <c r="Q49" s="10"/>
      <c r="R49" s="10"/>
      <c r="S49" s="10"/>
      <c r="T49" s="10"/>
      <c r="U49" s="10"/>
      <c r="V49" s="10"/>
      <c r="W49" s="10"/>
      <c r="X49" s="10"/>
      <c r="Y49" s="10"/>
      <c r="Z49" s="10"/>
      <c r="AA49" s="10"/>
      <c r="AB49" s="10"/>
      <c r="AC49" s="10"/>
      <c r="AD49" s="10"/>
      <c r="AE49" s="13"/>
      <c r="AF49" s="14"/>
      <c r="AG49" s="10"/>
      <c r="AH49" s="10"/>
      <c r="AI49" s="10"/>
      <c r="AJ49" s="15"/>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I49" s="53" t="s">
        <v>19</v>
      </c>
      <c r="CJ49" s="49">
        <v>17</v>
      </c>
      <c r="CM49" s="29">
        <v>185</v>
      </c>
      <c r="CN49" s="29">
        <v>0.185</v>
      </c>
      <c r="CO49" s="29">
        <f t="shared" si="42"/>
        <v>2.4975000000000001E-2</v>
      </c>
      <c r="EP49" s="25"/>
      <c r="EQ49" s="25"/>
      <c r="EU49" s="29"/>
      <c r="EV49" s="29"/>
      <c r="EW49" s="29">
        <f t="shared" si="39"/>
        <v>2.5697287220887349E-2</v>
      </c>
      <c r="EX49" s="29">
        <f t="shared" si="40"/>
        <v>0.10766567420536864</v>
      </c>
      <c r="EY49" s="29"/>
      <c r="EZ49" s="29"/>
      <c r="FA49" s="29"/>
      <c r="FB49" s="29"/>
      <c r="FC49" s="29"/>
      <c r="FD49" s="29"/>
      <c r="FE49" s="29"/>
      <c r="FF49" s="29">
        <v>45</v>
      </c>
      <c r="FG49" s="29">
        <f t="shared" si="0"/>
        <v>2.8274333882308138</v>
      </c>
      <c r="FH49" s="29">
        <f t="shared" si="5"/>
        <v>0.39270509831248424</v>
      </c>
      <c r="FI49" s="29">
        <f t="shared" si="6"/>
        <v>1.4683045111453963E-2</v>
      </c>
      <c r="FJ49" s="29"/>
      <c r="FL49" s="29">
        <f t="shared" si="7"/>
        <v>0</v>
      </c>
      <c r="FM49" s="29">
        <f t="shared" si="8"/>
        <v>0</v>
      </c>
      <c r="FP49" s="29">
        <f t="shared" si="9"/>
        <v>0</v>
      </c>
      <c r="FQ49" s="29">
        <f t="shared" si="10"/>
        <v>0</v>
      </c>
      <c r="FT49" s="29">
        <f t="shared" si="24"/>
        <v>0.5</v>
      </c>
      <c r="FU49" s="29">
        <f t="shared" si="25"/>
        <v>8.450000000000002E-2</v>
      </c>
      <c r="GB49" s="51">
        <f t="shared" si="28"/>
        <v>2.5697287220887349E-2</v>
      </c>
      <c r="GC49" s="51">
        <f t="shared" si="29"/>
        <v>0.10766567420536864</v>
      </c>
      <c r="GK49" s="51">
        <v>45</v>
      </c>
      <c r="GL49" s="51">
        <f t="shared" si="15"/>
        <v>2.8274333882308138</v>
      </c>
      <c r="GM49" s="51">
        <f t="shared" si="16"/>
        <v>0.39270509831248424</v>
      </c>
      <c r="GN49" s="51">
        <f t="shared" si="17"/>
        <v>1.4683045111453963E-2</v>
      </c>
      <c r="GQ49" s="51">
        <f t="shared" si="18"/>
        <v>0</v>
      </c>
      <c r="GR49" s="51">
        <f t="shared" si="19"/>
        <v>0</v>
      </c>
      <c r="GU49" s="51">
        <f t="shared" si="20"/>
        <v>0</v>
      </c>
      <c r="GV49" s="51">
        <f t="shared" si="21"/>
        <v>0</v>
      </c>
      <c r="GY49" s="51">
        <f t="shared" si="26"/>
        <v>0.5</v>
      </c>
      <c r="GZ49" s="51">
        <f t="shared" si="27"/>
        <v>8.450000000000002E-2</v>
      </c>
    </row>
    <row r="50" spans="2:208">
      <c r="B50" s="9"/>
      <c r="C50" s="10"/>
      <c r="D50" s="10"/>
      <c r="E50" s="10"/>
      <c r="F50" s="11"/>
      <c r="G50" s="12"/>
      <c r="H50" s="10"/>
      <c r="I50" s="10"/>
      <c r="J50" s="10"/>
      <c r="K50" s="10"/>
      <c r="L50" s="10"/>
      <c r="M50" s="10"/>
      <c r="N50" s="10"/>
      <c r="O50" s="10"/>
      <c r="P50" s="10"/>
      <c r="Q50" s="10"/>
      <c r="R50" s="10"/>
      <c r="S50" s="10"/>
      <c r="T50" s="10"/>
      <c r="U50" s="10"/>
      <c r="V50" s="10"/>
      <c r="W50" s="10"/>
      <c r="X50" s="10"/>
      <c r="Y50" s="10"/>
      <c r="Z50" s="10"/>
      <c r="AA50" s="10"/>
      <c r="AB50" s="10"/>
      <c r="AC50" s="10"/>
      <c r="AD50" s="10"/>
      <c r="AE50" s="13"/>
      <c r="AF50" s="14"/>
      <c r="AG50" s="10"/>
      <c r="AH50" s="10"/>
      <c r="AI50" s="10"/>
      <c r="AJ50" s="15"/>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I50" s="53" t="s">
        <v>94</v>
      </c>
      <c r="CJ50" s="51">
        <f>IF(CJ46="N/A","N/A",SUM(CJ$32+CJ$40+CJ$49))</f>
        <v>42</v>
      </c>
      <c r="CM50" s="29">
        <v>235</v>
      </c>
      <c r="CN50" s="29">
        <v>0.23499999999999999</v>
      </c>
      <c r="CO50" s="29">
        <f t="shared" si="42"/>
        <v>3.1724999999999996E-2</v>
      </c>
      <c r="EP50" s="25"/>
      <c r="EQ50" s="25"/>
      <c r="EU50" s="29"/>
      <c r="EV50" s="29"/>
      <c r="EW50" s="29">
        <f t="shared" si="39"/>
        <v>1.9772179850184396E-2</v>
      </c>
      <c r="EX50" s="29">
        <f t="shared" si="40"/>
        <v>0.11929435217735625</v>
      </c>
      <c r="EY50" s="29"/>
      <c r="EZ50" s="29"/>
      <c r="FA50" s="29"/>
      <c r="FB50" s="29"/>
      <c r="FC50" s="29"/>
      <c r="FD50" s="29"/>
      <c r="FE50" s="29"/>
      <c r="FF50" s="29">
        <v>46</v>
      </c>
      <c r="FG50" s="29">
        <f t="shared" si="0"/>
        <v>2.8902652413026098</v>
      </c>
      <c r="FH50" s="29">
        <f t="shared" si="5"/>
        <v>0.37460696614945643</v>
      </c>
      <c r="FI50" s="29">
        <f t="shared" si="6"/>
        <v>9.4250516614106661E-3</v>
      </c>
      <c r="FJ50" s="29"/>
      <c r="FL50" s="29">
        <f t="shared" si="7"/>
        <v>0</v>
      </c>
      <c r="FM50" s="29">
        <f t="shared" si="8"/>
        <v>0</v>
      </c>
      <c r="FP50" s="29">
        <f t="shared" si="9"/>
        <v>0</v>
      </c>
      <c r="FQ50" s="29">
        <f t="shared" si="10"/>
        <v>0</v>
      </c>
      <c r="FT50" s="29">
        <f t="shared" si="24"/>
        <v>0.5</v>
      </c>
      <c r="FU50" s="29">
        <f t="shared" si="25"/>
        <v>8.450000000000002E-2</v>
      </c>
      <c r="GB50" s="51">
        <f t="shared" si="28"/>
        <v>1.9772179850184396E-2</v>
      </c>
      <c r="GC50" s="51">
        <f t="shared" si="29"/>
        <v>0.11929435217735625</v>
      </c>
      <c r="GK50" s="51">
        <v>46</v>
      </c>
      <c r="GL50" s="51">
        <f t="shared" si="15"/>
        <v>2.8902652413026098</v>
      </c>
      <c r="GM50" s="51">
        <f t="shared" si="16"/>
        <v>0.37460696614945643</v>
      </c>
      <c r="GN50" s="51">
        <f t="shared" si="17"/>
        <v>9.4250516614106661E-3</v>
      </c>
      <c r="GQ50" s="51">
        <f t="shared" si="18"/>
        <v>0</v>
      </c>
      <c r="GR50" s="51">
        <f t="shared" si="19"/>
        <v>0</v>
      </c>
      <c r="GU50" s="51">
        <f t="shared" si="20"/>
        <v>0</v>
      </c>
      <c r="GV50" s="51">
        <f t="shared" si="21"/>
        <v>0</v>
      </c>
      <c r="GY50" s="51">
        <f t="shared" si="26"/>
        <v>0.5</v>
      </c>
      <c r="GZ50" s="51">
        <f t="shared" si="27"/>
        <v>8.450000000000002E-2</v>
      </c>
    </row>
    <row r="51" spans="2:208">
      <c r="B51" s="9"/>
      <c r="C51" s="10"/>
      <c r="D51" s="10"/>
      <c r="E51" s="10"/>
      <c r="F51" s="11"/>
      <c r="G51" s="12"/>
      <c r="H51" s="10"/>
      <c r="I51" s="10"/>
      <c r="J51" s="10"/>
      <c r="K51" s="10"/>
      <c r="L51" s="10"/>
      <c r="M51" s="10"/>
      <c r="N51" s="10"/>
      <c r="O51" s="10"/>
      <c r="P51" s="10"/>
      <c r="Q51" s="10"/>
      <c r="R51" s="10"/>
      <c r="S51" s="10"/>
      <c r="T51" s="10"/>
      <c r="U51" s="10"/>
      <c r="V51" s="10"/>
      <c r="W51" s="10"/>
      <c r="X51" s="10"/>
      <c r="Y51" s="10"/>
      <c r="Z51" s="10"/>
      <c r="AA51" s="10"/>
      <c r="AB51" s="10"/>
      <c r="AC51" s="10"/>
      <c r="AD51" s="10"/>
      <c r="AE51" s="13"/>
      <c r="AF51" s="14"/>
      <c r="AG51" s="10"/>
      <c r="AH51" s="10"/>
      <c r="AI51" s="10"/>
      <c r="AJ51" s="15"/>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I51" s="53" t="s">
        <v>90</v>
      </c>
      <c r="CJ51" s="29">
        <f ca="1">IF(CJ46="N/A","N/A",CJ$27*CJ49+CJ42)</f>
        <v>186.38374999999999</v>
      </c>
      <c r="CM51" s="29">
        <v>285</v>
      </c>
      <c r="CN51" s="29">
        <v>0.28499999999999998</v>
      </c>
      <c r="CO51" s="29">
        <f t="shared" si="42"/>
        <v>3.8474999999999995E-2</v>
      </c>
      <c r="EG51" s="26" t="s">
        <v>36</v>
      </c>
      <c r="EH51" s="26" t="s">
        <v>16</v>
      </c>
      <c r="EI51" s="26" t="s">
        <v>37</v>
      </c>
      <c r="EJ51" s="26"/>
      <c r="EK51" s="26"/>
      <c r="EL51" s="26"/>
      <c r="EM51" s="26"/>
      <c r="EN51" s="26"/>
      <c r="EO51" s="26"/>
      <c r="EP51" s="26"/>
      <c r="EQ51" s="26"/>
      <c r="EU51" s="29"/>
      <c r="EV51" s="29"/>
      <c r="EW51" s="29">
        <f t="shared" si="39"/>
        <v>1.4588935056715824E-2</v>
      </c>
      <c r="EX51" s="29">
        <f t="shared" si="40"/>
        <v>0.13127212417975803</v>
      </c>
      <c r="EY51" s="29"/>
      <c r="EZ51" s="29"/>
      <c r="FA51" s="29"/>
      <c r="FB51" s="29"/>
      <c r="FC51" s="29"/>
      <c r="FD51" s="29"/>
      <c r="FE51" s="29"/>
      <c r="FF51" s="29">
        <v>47</v>
      </c>
      <c r="FG51" s="29">
        <f t="shared" si="0"/>
        <v>2.9530970943744053</v>
      </c>
      <c r="FH51" s="29">
        <f t="shared" si="5"/>
        <v>0.3562143943757175</v>
      </c>
      <c r="FI51" s="29">
        <f t="shared" si="6"/>
        <v>5.313824781393417E-3</v>
      </c>
      <c r="FJ51" s="29"/>
      <c r="FL51" s="29">
        <f t="shared" si="7"/>
        <v>0</v>
      </c>
      <c r="FM51" s="29">
        <f t="shared" si="8"/>
        <v>0</v>
      </c>
      <c r="FP51" s="29">
        <f t="shared" si="9"/>
        <v>0</v>
      </c>
      <c r="FQ51" s="29">
        <f t="shared" si="10"/>
        <v>0</v>
      </c>
      <c r="FT51" s="29">
        <f t="shared" si="24"/>
        <v>0.5</v>
      </c>
      <c r="FU51" s="29">
        <f t="shared" si="25"/>
        <v>8.450000000000002E-2</v>
      </c>
      <c r="GB51" s="51">
        <f t="shared" si="28"/>
        <v>1.4588935056715824E-2</v>
      </c>
      <c r="GC51" s="51">
        <f t="shared" si="29"/>
        <v>0.13127212417975803</v>
      </c>
      <c r="GK51" s="51">
        <v>47</v>
      </c>
      <c r="GL51" s="51">
        <f t="shared" si="15"/>
        <v>2.9530970943744053</v>
      </c>
      <c r="GM51" s="51">
        <f t="shared" si="16"/>
        <v>0.3562143943757175</v>
      </c>
      <c r="GN51" s="51">
        <f t="shared" si="17"/>
        <v>5.313824781393417E-3</v>
      </c>
      <c r="GQ51" s="51">
        <f t="shared" si="18"/>
        <v>0</v>
      </c>
      <c r="GR51" s="51">
        <f t="shared" si="19"/>
        <v>0</v>
      </c>
      <c r="GU51" s="51">
        <f t="shared" si="20"/>
        <v>0</v>
      </c>
      <c r="GV51" s="51">
        <f t="shared" si="21"/>
        <v>0</v>
      </c>
      <c r="GY51" s="51">
        <f t="shared" si="26"/>
        <v>0.5</v>
      </c>
      <c r="GZ51" s="51">
        <f t="shared" si="27"/>
        <v>8.450000000000002E-2</v>
      </c>
    </row>
    <row r="52" spans="2:208" ht="15.75" thickBot="1">
      <c r="B52" s="16"/>
      <c r="C52" s="17"/>
      <c r="D52" s="17"/>
      <c r="E52" s="17"/>
      <c r="F52" s="18"/>
      <c r="G52" s="19"/>
      <c r="H52" s="17"/>
      <c r="I52" s="17"/>
      <c r="J52" s="17"/>
      <c r="K52" s="17"/>
      <c r="L52" s="17"/>
      <c r="M52" s="17"/>
      <c r="N52" s="17"/>
      <c r="O52" s="17"/>
      <c r="P52" s="17"/>
      <c r="Q52" s="17"/>
      <c r="R52" s="17"/>
      <c r="S52" s="17"/>
      <c r="T52" s="17"/>
      <c r="U52" s="17"/>
      <c r="V52" s="17"/>
      <c r="W52" s="17"/>
      <c r="X52" s="17"/>
      <c r="Y52" s="17"/>
      <c r="Z52" s="17"/>
      <c r="AA52" s="17"/>
      <c r="AB52" s="17"/>
      <c r="AC52" s="17"/>
      <c r="AD52" s="17"/>
      <c r="AE52" s="20"/>
      <c r="AF52" s="21"/>
      <c r="AG52" s="17"/>
      <c r="AH52" s="17"/>
      <c r="AI52" s="17"/>
      <c r="AJ52" s="22"/>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I52" s="53" t="s">
        <v>91</v>
      </c>
      <c r="CJ52" s="29">
        <f>IF(CJ46="N/A","N/A",(2.66*CJ48^1.25)*((6.74*(CJ$22/100)^0.7)+0.4+(CJ50/CJ47)*CJ$23)*1000)</f>
        <v>91.417390508866291</v>
      </c>
      <c r="EG52" s="26"/>
      <c r="EH52" s="26"/>
      <c r="EI52" s="26">
        <v>5</v>
      </c>
      <c r="EJ52" s="26">
        <v>10</v>
      </c>
      <c r="EK52" s="26">
        <v>15</v>
      </c>
      <c r="EL52" s="26">
        <v>30</v>
      </c>
      <c r="EM52" s="26">
        <v>45</v>
      </c>
      <c r="EN52" s="26">
        <v>60</v>
      </c>
      <c r="EO52" s="26">
        <v>120</v>
      </c>
      <c r="EP52" s="26">
        <v>240</v>
      </c>
      <c r="EQ52" s="26">
        <v>480</v>
      </c>
      <c r="EU52" s="29"/>
      <c r="EV52" s="29"/>
      <c r="EW52" s="29">
        <f t="shared" si="39"/>
        <v>1.016800873968185E-2</v>
      </c>
      <c r="EX52" s="29">
        <f t="shared" si="40"/>
        <v>0.14355171941860462</v>
      </c>
      <c r="EY52" s="29"/>
      <c r="EZ52" s="29"/>
      <c r="FA52" s="29"/>
      <c r="FB52" s="29"/>
      <c r="FC52" s="29"/>
      <c r="FD52" s="29"/>
      <c r="FE52" s="29"/>
      <c r="FF52" s="29">
        <v>48</v>
      </c>
      <c r="FG52" s="29">
        <f t="shared" si="0"/>
        <v>3.0159289474462012</v>
      </c>
      <c r="FH52" s="29">
        <f t="shared" si="5"/>
        <v>0.33759997006929132</v>
      </c>
      <c r="FI52" s="29">
        <f t="shared" si="6"/>
        <v>2.3655896056566927E-3</v>
      </c>
      <c r="FJ52" s="29"/>
      <c r="FL52" s="29">
        <f t="shared" si="7"/>
        <v>0</v>
      </c>
      <c r="FM52" s="29">
        <f t="shared" si="8"/>
        <v>0</v>
      </c>
      <c r="FP52" s="29">
        <f t="shared" si="9"/>
        <v>0</v>
      </c>
      <c r="FQ52" s="29">
        <f t="shared" si="10"/>
        <v>0</v>
      </c>
      <c r="FT52" s="29">
        <f t="shared" si="24"/>
        <v>0.5</v>
      </c>
      <c r="FU52" s="29">
        <f t="shared" si="25"/>
        <v>8.450000000000002E-2</v>
      </c>
      <c r="GB52" s="51">
        <f t="shared" si="28"/>
        <v>1.016800873968185E-2</v>
      </c>
      <c r="GC52" s="51">
        <f t="shared" si="29"/>
        <v>0.14355171941860462</v>
      </c>
      <c r="GK52" s="51">
        <v>48</v>
      </c>
      <c r="GL52" s="51">
        <f t="shared" si="15"/>
        <v>3.0159289474462012</v>
      </c>
      <c r="GM52" s="51">
        <f t="shared" si="16"/>
        <v>0.33759997006929132</v>
      </c>
      <c r="GN52" s="51">
        <f t="shared" si="17"/>
        <v>2.3655896056566927E-3</v>
      </c>
      <c r="GQ52" s="51">
        <f t="shared" si="18"/>
        <v>0</v>
      </c>
      <c r="GR52" s="51">
        <f t="shared" si="19"/>
        <v>0</v>
      </c>
      <c r="GU52" s="51">
        <f t="shared" si="20"/>
        <v>0</v>
      </c>
      <c r="GV52" s="51">
        <f t="shared" si="21"/>
        <v>0</v>
      </c>
      <c r="GY52" s="51">
        <f t="shared" si="26"/>
        <v>0.5</v>
      </c>
      <c r="GZ52" s="51">
        <f t="shared" si="27"/>
        <v>8.450000000000002E-2</v>
      </c>
    </row>
    <row r="53" spans="2:208">
      <c r="B53" s="146" t="s">
        <v>3</v>
      </c>
      <c r="C53" s="147"/>
      <c r="D53" s="147"/>
      <c r="E53" s="147"/>
      <c r="F53" s="148"/>
      <c r="G53" s="155" t="s">
        <v>4</v>
      </c>
      <c r="H53" s="156"/>
      <c r="I53" s="156"/>
      <c r="J53" s="156"/>
      <c r="K53" s="156"/>
      <c r="L53" s="156"/>
      <c r="M53" s="165" t="str">
        <f>IF(M2="","",M2)</f>
        <v/>
      </c>
      <c r="N53" s="147"/>
      <c r="O53" s="147"/>
      <c r="P53" s="147"/>
      <c r="Q53" s="147"/>
      <c r="R53" s="147"/>
      <c r="S53" s="147"/>
      <c r="T53" s="147"/>
      <c r="U53" s="147"/>
      <c r="V53" s="147"/>
      <c r="W53" s="147"/>
      <c r="X53" s="147"/>
      <c r="Y53" s="147"/>
      <c r="Z53" s="147"/>
      <c r="AA53" s="147"/>
      <c r="AB53" s="147"/>
      <c r="AC53" s="147"/>
      <c r="AD53" s="147"/>
      <c r="AE53" s="148"/>
      <c r="AF53" s="160" t="s">
        <v>5</v>
      </c>
      <c r="AG53" s="156"/>
      <c r="AH53" s="156"/>
      <c r="AI53" s="156"/>
      <c r="AJ53" s="16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I53" s="53" t="str">
        <f ca="1">IF(CJ52&gt;CJ51*1.2,"Channel Length Can Be Increased",IF(CJ52&gt;CJ51,"Channel Length Is OK","Insufficient Capacity, Decrease Channel Length"))</f>
        <v>Insufficient Capacity, Decrease Channel Length</v>
      </c>
      <c r="CM53" s="29" t="s">
        <v>98</v>
      </c>
      <c r="EG53" s="26" t="s">
        <v>38</v>
      </c>
      <c r="EH53" s="26">
        <v>1</v>
      </c>
      <c r="EI53" s="26">
        <v>41.9</v>
      </c>
      <c r="EJ53" s="26">
        <v>29.9</v>
      </c>
      <c r="EK53" s="26">
        <v>23.9</v>
      </c>
      <c r="EL53" s="26">
        <v>16</v>
      </c>
      <c r="EM53" s="26">
        <v>12.6</v>
      </c>
      <c r="EN53" s="26">
        <v>10.6</v>
      </c>
      <c r="EO53" s="26">
        <v>6.9</v>
      </c>
      <c r="EP53" s="26">
        <v>4.5</v>
      </c>
      <c r="EQ53" s="26">
        <v>3</v>
      </c>
      <c r="EU53" s="29"/>
      <c r="EV53" s="29"/>
      <c r="EW53" s="29">
        <f t="shared" si="39"/>
        <v>6.5268482755269086E-3</v>
      </c>
      <c r="EX53" s="29">
        <f t="shared" si="40"/>
        <v>0.1560846759415013</v>
      </c>
      <c r="EY53" s="29"/>
      <c r="EZ53" s="29"/>
      <c r="FA53" s="29"/>
      <c r="FB53" s="29"/>
      <c r="FC53" s="29"/>
      <c r="FD53" s="29"/>
      <c r="FE53" s="29"/>
      <c r="FF53" s="29">
        <v>49</v>
      </c>
      <c r="FG53" s="29">
        <f t="shared" si="0"/>
        <v>3.0787608005179972</v>
      </c>
      <c r="FH53" s="29">
        <f t="shared" si="5"/>
        <v>0.31883715585879407</v>
      </c>
      <c r="FI53" s="29">
        <f t="shared" si="6"/>
        <v>5.9198147151851011E-4</v>
      </c>
      <c r="FJ53" s="29"/>
      <c r="FL53" s="29">
        <f t="shared" si="7"/>
        <v>0</v>
      </c>
      <c r="FM53" s="29">
        <f t="shared" si="8"/>
        <v>0</v>
      </c>
      <c r="FP53" s="29">
        <f t="shared" si="9"/>
        <v>0</v>
      </c>
      <c r="FQ53" s="29">
        <f t="shared" si="10"/>
        <v>0</v>
      </c>
      <c r="FT53" s="29">
        <f t="shared" si="24"/>
        <v>0.5</v>
      </c>
      <c r="FU53" s="29">
        <f t="shared" si="25"/>
        <v>8.450000000000002E-2</v>
      </c>
      <c r="GB53" s="51">
        <f t="shared" si="28"/>
        <v>6.5268482755269086E-3</v>
      </c>
      <c r="GC53" s="51">
        <f t="shared" si="29"/>
        <v>0.1560846759415013</v>
      </c>
      <c r="GK53" s="51">
        <v>49</v>
      </c>
      <c r="GL53" s="51">
        <f t="shared" si="15"/>
        <v>3.0787608005179972</v>
      </c>
      <c r="GM53" s="51">
        <f t="shared" si="16"/>
        <v>0.31883715585879407</v>
      </c>
      <c r="GN53" s="51">
        <f t="shared" si="17"/>
        <v>5.9198147151851011E-4</v>
      </c>
      <c r="GQ53" s="51">
        <f t="shared" si="18"/>
        <v>0</v>
      </c>
      <c r="GR53" s="51">
        <f t="shared" si="19"/>
        <v>0</v>
      </c>
      <c r="GU53" s="51">
        <f t="shared" si="20"/>
        <v>0</v>
      </c>
      <c r="GV53" s="51">
        <f t="shared" si="21"/>
        <v>0</v>
      </c>
      <c r="GY53" s="51">
        <f t="shared" si="26"/>
        <v>0.5</v>
      </c>
      <c r="GZ53" s="51">
        <f t="shared" si="27"/>
        <v>8.450000000000002E-2</v>
      </c>
    </row>
    <row r="54" spans="2:208">
      <c r="B54" s="149"/>
      <c r="C54" s="150"/>
      <c r="D54" s="150"/>
      <c r="E54" s="150"/>
      <c r="F54" s="151"/>
      <c r="G54" s="102" t="s">
        <v>6</v>
      </c>
      <c r="H54" s="100"/>
      <c r="I54" s="100"/>
      <c r="J54" s="100"/>
      <c r="K54" s="100"/>
      <c r="L54" s="162"/>
      <c r="M54" s="163" t="str">
        <f>IF(M3="","",M3)</f>
        <v>Linear Drain Design</v>
      </c>
      <c r="N54" s="100"/>
      <c r="O54" s="100"/>
      <c r="P54" s="100"/>
      <c r="Q54" s="100"/>
      <c r="R54" s="100"/>
      <c r="S54" s="100"/>
      <c r="T54" s="100"/>
      <c r="U54" s="100"/>
      <c r="V54" s="100"/>
      <c r="W54" s="100"/>
      <c r="X54" s="100"/>
      <c r="Y54" s="100"/>
      <c r="Z54" s="100"/>
      <c r="AA54" s="100"/>
      <c r="AB54" s="100"/>
      <c r="AC54" s="100"/>
      <c r="AD54" s="100"/>
      <c r="AE54" s="101"/>
      <c r="AF54" s="96" t="s">
        <v>10</v>
      </c>
      <c r="AG54" s="97"/>
      <c r="AH54" s="97"/>
      <c r="AI54" s="97"/>
      <c r="AJ54" s="98"/>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M54" s="29">
        <v>135</v>
      </c>
      <c r="CN54" s="29">
        <v>0.13500000000000001</v>
      </c>
      <c r="CO54" s="29">
        <f t="shared" ref="CO54:CO57" si="43">CX22</f>
        <v>3.4020000000000009E-2</v>
      </c>
      <c r="EG54" s="26">
        <v>17</v>
      </c>
      <c r="EH54" s="26">
        <v>2</v>
      </c>
      <c r="EI54" s="26">
        <v>50.2</v>
      </c>
      <c r="EJ54" s="26">
        <v>37.4</v>
      </c>
      <c r="EK54" s="26">
        <v>30.5</v>
      </c>
      <c r="EL54" s="26">
        <v>20.7</v>
      </c>
      <c r="EM54" s="26">
        <v>16.2</v>
      </c>
      <c r="EN54" s="26">
        <v>13.6</v>
      </c>
      <c r="EO54" s="26">
        <v>8.6999999999999993</v>
      </c>
      <c r="EP54" s="26">
        <v>5.6</v>
      </c>
      <c r="EQ54" s="26">
        <v>4</v>
      </c>
      <c r="EU54" s="29"/>
      <c r="EV54" s="29"/>
      <c r="EW54" s="29">
        <f t="shared" si="39"/>
        <v>3.6798236611149115E-3</v>
      </c>
      <c r="EX54" s="29">
        <f t="shared" si="40"/>
        <v>0.16882153189481569</v>
      </c>
      <c r="EY54" s="29"/>
      <c r="EZ54" s="29"/>
      <c r="FA54" s="29"/>
      <c r="FB54" s="29"/>
      <c r="FC54" s="29"/>
      <c r="FD54" s="29"/>
      <c r="FE54" s="29"/>
      <c r="FF54" s="29">
        <v>50</v>
      </c>
      <c r="FG54" s="29">
        <f t="shared" si="0"/>
        <v>3.1415926535897931</v>
      </c>
      <c r="FH54" s="29">
        <f t="shared" si="5"/>
        <v>0.30000000000000004</v>
      </c>
      <c r="FI54" s="29">
        <f t="shared" si="6"/>
        <v>0</v>
      </c>
      <c r="FJ54" s="29"/>
      <c r="FL54" s="29">
        <f t="shared" si="7"/>
        <v>0</v>
      </c>
      <c r="FM54" s="29">
        <f t="shared" si="8"/>
        <v>0</v>
      </c>
      <c r="FP54" s="29">
        <f t="shared" si="9"/>
        <v>0</v>
      </c>
      <c r="FQ54" s="29">
        <f t="shared" si="10"/>
        <v>0</v>
      </c>
      <c r="FT54" s="29">
        <f t="shared" si="24"/>
        <v>0.5</v>
      </c>
      <c r="FU54" s="29">
        <f t="shared" si="25"/>
        <v>8.450000000000002E-2</v>
      </c>
      <c r="GB54" s="51">
        <f t="shared" si="28"/>
        <v>3.6798236611149115E-3</v>
      </c>
      <c r="GC54" s="51">
        <f t="shared" si="29"/>
        <v>0.16882153189481569</v>
      </c>
      <c r="GK54" s="51">
        <v>50</v>
      </c>
      <c r="GL54" s="51">
        <f t="shared" si="15"/>
        <v>3.1415926535897931</v>
      </c>
      <c r="GM54" s="51">
        <f t="shared" si="16"/>
        <v>0.30000000000000004</v>
      </c>
      <c r="GN54" s="51">
        <f t="shared" si="17"/>
        <v>0</v>
      </c>
      <c r="GQ54" s="51">
        <f t="shared" si="18"/>
        <v>0</v>
      </c>
      <c r="GR54" s="51">
        <f t="shared" si="19"/>
        <v>0</v>
      </c>
      <c r="GU54" s="51">
        <f t="shared" si="20"/>
        <v>0</v>
      </c>
      <c r="GV54" s="51">
        <f t="shared" si="21"/>
        <v>0</v>
      </c>
      <c r="GY54" s="51">
        <f t="shared" si="26"/>
        <v>0.5</v>
      </c>
      <c r="GZ54" s="51">
        <f t="shared" si="27"/>
        <v>8.450000000000002E-2</v>
      </c>
    </row>
    <row r="55" spans="2:208">
      <c r="B55" s="149"/>
      <c r="C55" s="150"/>
      <c r="D55" s="150"/>
      <c r="E55" s="150"/>
      <c r="F55" s="151"/>
      <c r="G55" s="99" t="s">
        <v>10</v>
      </c>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1"/>
      <c r="AF55" s="102" t="s">
        <v>7</v>
      </c>
      <c r="AG55" s="103"/>
      <c r="AH55" s="103"/>
      <c r="AI55" s="103"/>
      <c r="AJ55" s="104"/>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I55" s="53" t="s">
        <v>99</v>
      </c>
      <c r="CJ55" s="56">
        <f>IF(HLOOKUP(M$116,CQ$5:CX$11,5,FALSE)&gt;M117,"N/A",HLOOKUP(M$116,CQ$5:CX$11,5,FALSE))</f>
        <v>400</v>
      </c>
      <c r="CK55" s="29" t="s">
        <v>71</v>
      </c>
      <c r="CM55" s="29">
        <v>205</v>
      </c>
      <c r="CN55" s="29">
        <v>0.20499999999999999</v>
      </c>
      <c r="CO55" s="29">
        <f t="shared" si="43"/>
        <v>5.1659999999999998E-2</v>
      </c>
      <c r="EG55" s="26" t="s">
        <v>39</v>
      </c>
      <c r="EH55" s="26">
        <v>5</v>
      </c>
      <c r="EI55" s="26">
        <v>66.5</v>
      </c>
      <c r="EJ55" s="26">
        <v>49.2</v>
      </c>
      <c r="EK55" s="26">
        <v>40</v>
      </c>
      <c r="EL55" s="26">
        <v>26.9</v>
      </c>
      <c r="EM55" s="26">
        <v>20.9</v>
      </c>
      <c r="EN55" s="26">
        <v>17.399999999999999</v>
      </c>
      <c r="EO55" s="26">
        <v>11.1</v>
      </c>
      <c r="EP55" s="26">
        <v>7</v>
      </c>
      <c r="EQ55" s="26">
        <v>4</v>
      </c>
      <c r="EU55" s="29"/>
      <c r="EV55" s="29"/>
      <c r="EW55" s="29">
        <f t="shared" si="39"/>
        <v>1.6381708019172492E-3</v>
      </c>
      <c r="EX55" s="29">
        <f t="shared" si="40"/>
        <v>0.1817120207270157</v>
      </c>
      <c r="EY55" s="29"/>
      <c r="EZ55" s="29"/>
      <c r="FA55" s="29"/>
      <c r="FB55" s="29"/>
      <c r="FC55" s="29"/>
      <c r="FD55" s="29"/>
      <c r="FE55" s="29"/>
      <c r="FF55" s="29">
        <v>51</v>
      </c>
      <c r="FG55" s="29">
        <f t="shared" si="0"/>
        <v>3.2044245066615891</v>
      </c>
      <c r="FH55" s="29">
        <f t="shared" si="5"/>
        <v>0.28116284414120596</v>
      </c>
      <c r="FI55" s="29">
        <f t="shared" si="6"/>
        <v>5.9198147151851011E-4</v>
      </c>
      <c r="FJ55" s="29"/>
      <c r="FL55" s="29">
        <f t="shared" si="7"/>
        <v>0</v>
      </c>
      <c r="FM55" s="29">
        <f t="shared" si="8"/>
        <v>0</v>
      </c>
      <c r="FP55" s="29">
        <f t="shared" si="9"/>
        <v>0</v>
      </c>
      <c r="FQ55" s="29">
        <f t="shared" si="10"/>
        <v>0</v>
      </c>
      <c r="FT55" s="29">
        <f t="shared" si="24"/>
        <v>0.5</v>
      </c>
      <c r="FU55" s="29">
        <f t="shared" si="25"/>
        <v>8.450000000000002E-2</v>
      </c>
      <c r="GB55" s="51">
        <f t="shared" si="28"/>
        <v>1.6381708019172492E-3</v>
      </c>
      <c r="GC55" s="51">
        <f t="shared" si="29"/>
        <v>0.1817120207270157</v>
      </c>
      <c r="GK55" s="51">
        <v>51</v>
      </c>
      <c r="GL55" s="51">
        <f t="shared" si="15"/>
        <v>3.2044245066615891</v>
      </c>
      <c r="GM55" s="51">
        <f t="shared" si="16"/>
        <v>0.28116284414120596</v>
      </c>
      <c r="GN55" s="51">
        <f t="shared" si="17"/>
        <v>5.9198147151851011E-4</v>
      </c>
      <c r="GQ55" s="51">
        <f t="shared" si="18"/>
        <v>0</v>
      </c>
      <c r="GR55" s="51">
        <f t="shared" si="19"/>
        <v>0</v>
      </c>
      <c r="GU55" s="51">
        <f t="shared" si="20"/>
        <v>0</v>
      </c>
      <c r="GV55" s="51">
        <f t="shared" si="21"/>
        <v>0</v>
      </c>
      <c r="GY55" s="51">
        <f t="shared" si="26"/>
        <v>0.5</v>
      </c>
      <c r="GZ55" s="51">
        <f t="shared" si="27"/>
        <v>8.450000000000002E-2</v>
      </c>
    </row>
    <row r="56" spans="2:208" ht="15.75" thickBot="1">
      <c r="B56" s="152"/>
      <c r="C56" s="153"/>
      <c r="D56" s="153"/>
      <c r="E56" s="153"/>
      <c r="F56" s="154"/>
      <c r="G56" s="105" t="s">
        <v>8</v>
      </c>
      <c r="H56" s="106"/>
      <c r="I56" s="106"/>
      <c r="J56" s="106"/>
      <c r="K56" s="106"/>
      <c r="L56" s="107"/>
      <c r="M56" s="108">
        <v>2</v>
      </c>
      <c r="N56" s="109"/>
      <c r="O56" s="109"/>
      <c r="P56" s="109"/>
      <c r="Q56" s="109"/>
      <c r="R56" s="109"/>
      <c r="S56" s="110"/>
      <c r="T56" s="111" t="s">
        <v>9</v>
      </c>
      <c r="U56" s="105"/>
      <c r="V56" s="105"/>
      <c r="W56" s="105"/>
      <c r="X56" s="105"/>
      <c r="Y56" s="112"/>
      <c r="Z56" s="113" t="s">
        <v>10</v>
      </c>
      <c r="AA56" s="114"/>
      <c r="AB56" s="114"/>
      <c r="AC56" s="114"/>
      <c r="AD56" s="114"/>
      <c r="AE56" s="115"/>
      <c r="AF56" s="116" t="s">
        <v>10</v>
      </c>
      <c r="AG56" s="114"/>
      <c r="AH56" s="114"/>
      <c r="AI56" s="114"/>
      <c r="AJ56" s="117"/>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29" t="s">
        <v>73</v>
      </c>
      <c r="CI56" s="53" t="s">
        <v>74</v>
      </c>
      <c r="CJ56" s="56">
        <f>IF(CJ55="N/A","N/A",HLOOKUP(M$116,CQ$13:CX$19,5,FALSE))</f>
        <v>0.45200000000000001</v>
      </c>
      <c r="CK56" s="29" t="s">
        <v>1</v>
      </c>
      <c r="CM56" s="29">
        <v>275</v>
      </c>
      <c r="CN56" s="29">
        <v>0.27500000000000002</v>
      </c>
      <c r="CO56" s="29">
        <f t="shared" si="43"/>
        <v>6.9300000000000014E-2</v>
      </c>
      <c r="EG56" s="26">
        <v>0.3</v>
      </c>
      <c r="EH56" s="26">
        <v>10</v>
      </c>
      <c r="EI56" s="26">
        <v>75.8</v>
      </c>
      <c r="EJ56" s="26">
        <v>56.5</v>
      </c>
      <c r="EK56" s="26">
        <v>46.2</v>
      </c>
      <c r="EL56" s="26">
        <v>31.2</v>
      </c>
      <c r="EM56" s="26">
        <v>24.4</v>
      </c>
      <c r="EN56" s="26">
        <v>20.399999999999999</v>
      </c>
      <c r="EO56" s="26">
        <v>13</v>
      </c>
      <c r="EP56" s="26">
        <v>8.1</v>
      </c>
      <c r="EQ56" s="26">
        <v>5</v>
      </c>
      <c r="EU56" s="29"/>
      <c r="EV56" s="29"/>
      <c r="EW56" s="29">
        <f t="shared" si="39"/>
        <v>4.0994716902659212E-4</v>
      </c>
      <c r="EX56" s="29">
        <f t="shared" si="40"/>
        <v>0.19470526956778517</v>
      </c>
      <c r="EY56" s="29"/>
      <c r="EZ56" s="29"/>
      <c r="FA56" s="29"/>
      <c r="FB56" s="29"/>
      <c r="FC56" s="29"/>
      <c r="FD56" s="29"/>
      <c r="FE56" s="29"/>
      <c r="FF56" s="29">
        <v>52</v>
      </c>
      <c r="FG56" s="29">
        <f t="shared" si="0"/>
        <v>3.267256359733385</v>
      </c>
      <c r="FH56" s="29">
        <f t="shared" si="5"/>
        <v>0.26240002993070871</v>
      </c>
      <c r="FI56" s="29">
        <f t="shared" si="6"/>
        <v>2.3655896056566372E-3</v>
      </c>
      <c r="FJ56" s="29"/>
      <c r="FL56" s="29">
        <f t="shared" si="7"/>
        <v>0</v>
      </c>
      <c r="FM56" s="29">
        <f t="shared" si="8"/>
        <v>0</v>
      </c>
      <c r="FP56" s="29">
        <f t="shared" si="9"/>
        <v>0</v>
      </c>
      <c r="FQ56" s="29">
        <f t="shared" si="10"/>
        <v>0</v>
      </c>
      <c r="FT56" s="29">
        <f t="shared" si="24"/>
        <v>0.5</v>
      </c>
      <c r="FU56" s="29">
        <f t="shared" si="25"/>
        <v>8.450000000000002E-2</v>
      </c>
      <c r="GB56" s="51">
        <f t="shared" si="28"/>
        <v>4.0994716902659212E-4</v>
      </c>
      <c r="GC56" s="51">
        <f t="shared" si="29"/>
        <v>0.19470526956778517</v>
      </c>
      <c r="GK56" s="51">
        <v>52</v>
      </c>
      <c r="GL56" s="51">
        <f t="shared" si="15"/>
        <v>3.267256359733385</v>
      </c>
      <c r="GM56" s="51">
        <f t="shared" si="16"/>
        <v>0.26240002993070871</v>
      </c>
      <c r="GN56" s="51">
        <f t="shared" si="17"/>
        <v>2.3655896056566372E-3</v>
      </c>
      <c r="GQ56" s="51">
        <f t="shared" si="18"/>
        <v>0</v>
      </c>
      <c r="GR56" s="51">
        <f t="shared" si="19"/>
        <v>0</v>
      </c>
      <c r="GU56" s="51">
        <f t="shared" si="20"/>
        <v>0</v>
      </c>
      <c r="GV56" s="51">
        <f t="shared" si="21"/>
        <v>0</v>
      </c>
      <c r="GY56" s="51">
        <f t="shared" si="26"/>
        <v>0.5</v>
      </c>
      <c r="GZ56" s="51">
        <f t="shared" si="27"/>
        <v>8.450000000000002E-2</v>
      </c>
    </row>
    <row r="57" spans="2:208" ht="15.75" thickBot="1">
      <c r="B57" s="2"/>
      <c r="C57" s="3"/>
      <c r="D57" s="3"/>
      <c r="E57" s="3"/>
      <c r="F57" s="4"/>
      <c r="G57" s="39"/>
      <c r="H57" s="38"/>
      <c r="I57" s="38"/>
      <c r="J57" s="38"/>
      <c r="K57" s="38"/>
      <c r="L57" s="38"/>
      <c r="M57" s="38"/>
      <c r="N57" s="38"/>
      <c r="O57" s="38"/>
      <c r="P57" s="38"/>
      <c r="Q57" s="38"/>
      <c r="R57" s="38"/>
      <c r="S57" s="38"/>
      <c r="T57" s="38"/>
      <c r="U57" s="41"/>
      <c r="V57" s="41"/>
      <c r="W57" s="41"/>
      <c r="X57" s="41"/>
      <c r="Y57" s="41"/>
      <c r="Z57" s="41"/>
      <c r="AA57" s="41"/>
      <c r="AB57" s="41"/>
      <c r="AC57" s="41"/>
      <c r="AD57" s="41"/>
      <c r="AE57" s="34"/>
      <c r="AF57" s="42"/>
      <c r="AG57" s="41"/>
      <c r="AH57" s="41"/>
      <c r="AI57" s="41"/>
      <c r="AJ57" s="43"/>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33"/>
      <c r="CH57" s="29" t="s">
        <v>20</v>
      </c>
      <c r="CI57" s="53" t="s">
        <v>75</v>
      </c>
      <c r="CJ57" s="56">
        <f>IF(CJ55="N/A","N/A",HLOOKUP(M$116,CQ$21:CX$27,5,FALSE))</f>
        <v>0.138296</v>
      </c>
      <c r="CK57" s="29" t="s">
        <v>48</v>
      </c>
      <c r="CM57" s="29">
        <v>555</v>
      </c>
      <c r="CN57" s="29">
        <v>0.55500000000000005</v>
      </c>
      <c r="CO57" s="29">
        <f t="shared" si="43"/>
        <v>0.13986000000000004</v>
      </c>
      <c r="EG57" s="26"/>
      <c r="EH57" s="26">
        <v>15</v>
      </c>
      <c r="EI57" s="26">
        <v>81.8</v>
      </c>
      <c r="EJ57" s="26">
        <v>61.3</v>
      </c>
      <c r="EK57" s="26">
        <v>50.2</v>
      </c>
      <c r="EL57" s="26">
        <v>34.1</v>
      </c>
      <c r="EM57" s="26">
        <v>26.7</v>
      </c>
      <c r="EN57" s="26">
        <v>22.3</v>
      </c>
      <c r="EO57" s="26">
        <v>14.2</v>
      </c>
      <c r="EP57" s="26">
        <v>8.9</v>
      </c>
      <c r="EQ57" s="26">
        <v>5</v>
      </c>
      <c r="EU57" s="29"/>
      <c r="EV57" s="29"/>
      <c r="EW57" s="29">
        <f t="shared" si="39"/>
        <v>0</v>
      </c>
      <c r="EX57" s="29">
        <f t="shared" si="40"/>
        <v>0.20774999999999996</v>
      </c>
      <c r="EY57" s="29"/>
      <c r="EZ57" s="29"/>
      <c r="FA57" s="29"/>
      <c r="FB57" s="29"/>
      <c r="FC57" s="29"/>
      <c r="FD57" s="29"/>
      <c r="FE57" s="29"/>
      <c r="FF57" s="29">
        <v>53</v>
      </c>
      <c r="FG57" s="29">
        <f t="shared" si="0"/>
        <v>3.330088212805181</v>
      </c>
      <c r="FH57" s="29">
        <f t="shared" si="5"/>
        <v>0.24378560562428256</v>
      </c>
      <c r="FI57" s="29">
        <f t="shared" si="6"/>
        <v>5.313824781393417E-3</v>
      </c>
      <c r="FJ57" s="29"/>
      <c r="FL57" s="29">
        <f t="shared" si="7"/>
        <v>0</v>
      </c>
      <c r="FM57" s="29">
        <f t="shared" si="8"/>
        <v>0</v>
      </c>
      <c r="FP57" s="29">
        <f t="shared" si="9"/>
        <v>0</v>
      </c>
      <c r="FQ57" s="29">
        <f t="shared" si="10"/>
        <v>0</v>
      </c>
      <c r="FT57" s="29">
        <f t="shared" si="24"/>
        <v>0.5</v>
      </c>
      <c r="FU57" s="29">
        <f t="shared" si="25"/>
        <v>8.450000000000002E-2</v>
      </c>
      <c r="GB57" s="51">
        <f t="shared" si="28"/>
        <v>0</v>
      </c>
      <c r="GC57" s="51">
        <f t="shared" si="29"/>
        <v>0.20774999999999996</v>
      </c>
      <c r="GK57" s="51">
        <v>53</v>
      </c>
      <c r="GL57" s="51">
        <f t="shared" si="15"/>
        <v>3.330088212805181</v>
      </c>
      <c r="GM57" s="51">
        <f t="shared" si="16"/>
        <v>0.24378560562428256</v>
      </c>
      <c r="GN57" s="51">
        <f t="shared" si="17"/>
        <v>5.313824781393417E-3</v>
      </c>
      <c r="GQ57" s="51">
        <f t="shared" si="18"/>
        <v>0</v>
      </c>
      <c r="GR57" s="51">
        <f t="shared" si="19"/>
        <v>0</v>
      </c>
      <c r="GU57" s="51">
        <f t="shared" si="20"/>
        <v>0</v>
      </c>
      <c r="GV57" s="51">
        <f t="shared" si="21"/>
        <v>0</v>
      </c>
      <c r="GY57" s="51">
        <f t="shared" si="26"/>
        <v>0.5</v>
      </c>
      <c r="GZ57" s="51">
        <f t="shared" si="27"/>
        <v>8.450000000000002E-2</v>
      </c>
    </row>
    <row r="58" spans="2:208" ht="15.75" thickBot="1">
      <c r="B58" s="9"/>
      <c r="C58" s="10"/>
      <c r="D58" s="10"/>
      <c r="E58" s="10"/>
      <c r="F58" s="11"/>
      <c r="G58" s="39"/>
      <c r="H58" s="90" t="s">
        <v>102</v>
      </c>
      <c r="I58" s="131"/>
      <c r="J58" s="131"/>
      <c r="K58" s="131"/>
      <c r="L58" s="131"/>
      <c r="M58" s="131"/>
      <c r="N58" s="131"/>
      <c r="O58" s="131"/>
      <c r="P58" s="131"/>
      <c r="Q58" s="131"/>
      <c r="R58" s="131"/>
      <c r="S58" s="131"/>
      <c r="T58" s="132"/>
      <c r="U58" s="40"/>
      <c r="V58" s="125" t="s">
        <v>112</v>
      </c>
      <c r="W58" s="136"/>
      <c r="X58" s="136"/>
      <c r="Y58" s="136"/>
      <c r="Z58" s="136"/>
      <c r="AA58" s="136"/>
      <c r="AB58" s="136"/>
      <c r="AC58" s="136"/>
      <c r="AD58" s="136"/>
      <c r="AE58" s="170"/>
      <c r="AF58" s="42"/>
      <c r="AG58" s="41"/>
      <c r="AH58" s="41"/>
      <c r="AI58" s="41"/>
      <c r="AJ58" s="43"/>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33"/>
      <c r="CI58" s="53" t="s">
        <v>19</v>
      </c>
      <c r="CJ58" s="49">
        <v>17</v>
      </c>
      <c r="EG58" s="26"/>
      <c r="EH58" s="26">
        <v>20</v>
      </c>
      <c r="EI58" s="26">
        <v>86.4</v>
      </c>
      <c r="EJ58" s="26">
        <v>64.900000000000006</v>
      </c>
      <c r="EK58" s="26">
        <v>53.3</v>
      </c>
      <c r="EL58" s="26">
        <v>36.299999999999997</v>
      </c>
      <c r="EM58" s="26">
        <v>28.5</v>
      </c>
      <c r="EN58" s="26">
        <v>23.8</v>
      </c>
      <c r="EO58" s="26">
        <v>15.2</v>
      </c>
      <c r="EP58" s="26">
        <v>9.5</v>
      </c>
      <c r="EQ58" s="26">
        <v>6</v>
      </c>
      <c r="EU58" s="29"/>
      <c r="EV58" s="29"/>
      <c r="EW58" s="29">
        <v>0</v>
      </c>
      <c r="EX58" s="29">
        <f>EX5</f>
        <v>0.62324999999999997</v>
      </c>
      <c r="EY58" s="29"/>
      <c r="EZ58" s="29"/>
      <c r="FA58" s="29"/>
      <c r="FB58" s="29"/>
      <c r="FC58" s="29"/>
      <c r="FD58" s="29"/>
      <c r="FE58" s="29"/>
      <c r="FF58" s="29">
        <v>54</v>
      </c>
      <c r="FG58" s="29">
        <f t="shared" si="0"/>
        <v>3.3929200658769769</v>
      </c>
      <c r="FH58" s="29">
        <f t="shared" si="5"/>
        <v>0.22539303385054349</v>
      </c>
      <c r="FI58" s="29">
        <f t="shared" si="6"/>
        <v>9.4250516614106661E-3</v>
      </c>
      <c r="FJ58" s="29"/>
      <c r="FL58" s="29">
        <f t="shared" si="7"/>
        <v>0</v>
      </c>
      <c r="FM58" s="29">
        <f t="shared" si="8"/>
        <v>0</v>
      </c>
      <c r="FP58" s="29">
        <f t="shared" si="9"/>
        <v>0</v>
      </c>
      <c r="FQ58" s="29">
        <f t="shared" si="10"/>
        <v>0</v>
      </c>
      <c r="FT58" s="29">
        <f t="shared" si="24"/>
        <v>0.5</v>
      </c>
      <c r="FU58" s="29">
        <f t="shared" si="25"/>
        <v>8.450000000000002E-2</v>
      </c>
      <c r="GB58" s="51">
        <v>0</v>
      </c>
      <c r="GC58" s="51">
        <f>GC5</f>
        <v>0.62324999999999997</v>
      </c>
      <c r="GK58" s="51">
        <v>54</v>
      </c>
      <c r="GL58" s="51">
        <f t="shared" si="15"/>
        <v>3.3929200658769769</v>
      </c>
      <c r="GM58" s="51">
        <f t="shared" si="16"/>
        <v>0.22539303385054349</v>
      </c>
      <c r="GN58" s="51">
        <f t="shared" si="17"/>
        <v>9.4250516614106661E-3</v>
      </c>
      <c r="GQ58" s="51">
        <f t="shared" si="18"/>
        <v>0</v>
      </c>
      <c r="GR58" s="51">
        <f t="shared" si="19"/>
        <v>0</v>
      </c>
      <c r="GU58" s="51">
        <f t="shared" si="20"/>
        <v>0</v>
      </c>
      <c r="GV58" s="51">
        <f t="shared" si="21"/>
        <v>0</v>
      </c>
      <c r="GY58" s="51">
        <f t="shared" si="26"/>
        <v>0.5</v>
      </c>
      <c r="GZ58" s="51">
        <f t="shared" si="27"/>
        <v>8.450000000000002E-2</v>
      </c>
    </row>
    <row r="59" spans="2:208" ht="15.75" thickBot="1">
      <c r="B59" s="9"/>
      <c r="C59" s="10"/>
      <c r="D59" s="10"/>
      <c r="E59" s="10"/>
      <c r="F59" s="11"/>
      <c r="G59" s="39"/>
      <c r="H59" s="80" t="s">
        <v>103</v>
      </c>
      <c r="I59" s="81"/>
      <c r="J59" s="81"/>
      <c r="K59" s="81"/>
      <c r="L59" s="81"/>
      <c r="M59" s="81"/>
      <c r="N59" s="81"/>
      <c r="O59" s="130"/>
      <c r="P59" s="91">
        <v>1</v>
      </c>
      <c r="Q59" s="133"/>
      <c r="R59" s="134"/>
      <c r="S59" s="80" t="s">
        <v>0</v>
      </c>
      <c r="T59" s="130"/>
      <c r="U59" s="40"/>
      <c r="V59" s="41"/>
      <c r="W59" s="41"/>
      <c r="X59" s="41"/>
      <c r="Y59" s="41"/>
      <c r="Z59" s="41"/>
      <c r="AA59" s="41"/>
      <c r="AB59" s="41"/>
      <c r="AC59" s="41"/>
      <c r="AD59" s="41"/>
      <c r="AE59" s="34"/>
      <c r="AF59" s="61" t="s">
        <v>128</v>
      </c>
      <c r="AG59" s="202">
        <f>P59/100</f>
        <v>0.01</v>
      </c>
      <c r="AH59" s="202"/>
      <c r="AI59" s="203" t="s">
        <v>129</v>
      </c>
      <c r="AJ59" s="20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33"/>
      <c r="CI59" s="53" t="s">
        <v>94</v>
      </c>
      <c r="CJ59" s="51">
        <f>IF(CJ55="N/A","N/A",SUM(CJ$32+CJ$40+CJ$49+CJ$58))</f>
        <v>59</v>
      </c>
      <c r="EG59" s="26"/>
      <c r="EH59" s="26">
        <v>25</v>
      </c>
      <c r="EI59" s="26">
        <v>90.1</v>
      </c>
      <c r="EJ59" s="26">
        <v>67.900000000000006</v>
      </c>
      <c r="EK59" s="26">
        <v>55.9</v>
      </c>
      <c r="EL59" s="26">
        <v>38.1</v>
      </c>
      <c r="EM59" s="26">
        <v>29.9</v>
      </c>
      <c r="EN59" s="26">
        <v>25</v>
      </c>
      <c r="EO59" s="26">
        <v>16</v>
      </c>
      <c r="EP59" s="26">
        <v>10</v>
      </c>
      <c r="EQ59" s="26">
        <v>6</v>
      </c>
      <c r="EU59" s="29"/>
      <c r="EV59" s="29"/>
      <c r="EW59" s="29">
        <f>EW5</f>
        <v>0.41549999999999998</v>
      </c>
      <c r="EX59" s="29">
        <f>EX5</f>
        <v>0.62324999999999997</v>
      </c>
      <c r="EY59" s="29"/>
      <c r="EZ59" s="29"/>
      <c r="FA59" s="29"/>
      <c r="FB59" s="29"/>
      <c r="FC59" s="29"/>
      <c r="FD59" s="29"/>
      <c r="FE59" s="29"/>
      <c r="FF59" s="29">
        <v>55</v>
      </c>
      <c r="FG59" s="29">
        <f t="shared" si="0"/>
        <v>3.4557519189487729</v>
      </c>
      <c r="FH59" s="29">
        <f t="shared" si="5"/>
        <v>0.20729490168751569</v>
      </c>
      <c r="FI59" s="29">
        <f t="shared" si="6"/>
        <v>1.4683045111453963E-2</v>
      </c>
      <c r="FJ59" s="29"/>
      <c r="FL59" s="29">
        <f t="shared" si="7"/>
        <v>0</v>
      </c>
      <c r="FM59" s="29">
        <f t="shared" si="8"/>
        <v>0</v>
      </c>
      <c r="FP59" s="29">
        <f t="shared" si="9"/>
        <v>0</v>
      </c>
      <c r="FQ59" s="29">
        <f t="shared" si="10"/>
        <v>0</v>
      </c>
      <c r="FT59" s="29">
        <f t="shared" si="24"/>
        <v>0.5</v>
      </c>
      <c r="FU59" s="29">
        <f t="shared" si="25"/>
        <v>8.450000000000002E-2</v>
      </c>
      <c r="GB59" s="51">
        <f>GB5</f>
        <v>0.41549999999999998</v>
      </c>
      <c r="GC59" s="51">
        <f>GC5</f>
        <v>0.62324999999999997</v>
      </c>
      <c r="GK59" s="51">
        <v>55</v>
      </c>
      <c r="GL59" s="51">
        <f t="shared" si="15"/>
        <v>3.4557519189487729</v>
      </c>
      <c r="GM59" s="51">
        <f t="shared" si="16"/>
        <v>0.20729490168751569</v>
      </c>
      <c r="GN59" s="51">
        <f t="shared" si="17"/>
        <v>1.4683045111453963E-2</v>
      </c>
      <c r="GQ59" s="51">
        <f t="shared" si="18"/>
        <v>0</v>
      </c>
      <c r="GR59" s="51">
        <f t="shared" si="19"/>
        <v>0</v>
      </c>
      <c r="GU59" s="51">
        <f t="shared" si="20"/>
        <v>0</v>
      </c>
      <c r="GV59" s="51">
        <f t="shared" si="21"/>
        <v>0</v>
      </c>
      <c r="GY59" s="51">
        <f t="shared" si="26"/>
        <v>0.5</v>
      </c>
      <c r="GZ59" s="51">
        <f t="shared" si="27"/>
        <v>8.450000000000002E-2</v>
      </c>
    </row>
    <row r="60" spans="2:208" ht="15.75" thickBot="1">
      <c r="B60" s="9"/>
      <c r="C60" s="10"/>
      <c r="D60" s="10"/>
      <c r="E60" s="10"/>
      <c r="F60" s="11"/>
      <c r="G60" s="39"/>
      <c r="H60" s="83" t="s">
        <v>104</v>
      </c>
      <c r="I60" s="84"/>
      <c r="J60" s="84"/>
      <c r="K60" s="84"/>
      <c r="L60" s="84"/>
      <c r="M60" s="84"/>
      <c r="N60" s="84"/>
      <c r="O60" s="92"/>
      <c r="P60" s="271">
        <v>100</v>
      </c>
      <c r="Q60" s="277"/>
      <c r="R60" s="278"/>
      <c r="S60" s="83" t="s">
        <v>1</v>
      </c>
      <c r="T60" s="92"/>
      <c r="U60" s="40"/>
      <c r="V60" s="41"/>
      <c r="W60" s="41"/>
      <c r="X60" s="41"/>
      <c r="Y60" s="41"/>
      <c r="Z60" s="41"/>
      <c r="AA60" s="41"/>
      <c r="AB60" s="41"/>
      <c r="AC60" s="41"/>
      <c r="AD60" s="41"/>
      <c r="AE60" s="34"/>
      <c r="AF60" s="205" t="s">
        <v>130</v>
      </c>
      <c r="AG60" s="206"/>
      <c r="AH60" s="206"/>
      <c r="AI60" s="207">
        <f>100/P59</f>
        <v>100</v>
      </c>
      <c r="AJ60" s="208"/>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33"/>
      <c r="CI60" s="53" t="s">
        <v>90</v>
      </c>
      <c r="CJ60" s="29">
        <f ca="1">IF(CJ55="N/A","N/A",CJ$27*CJ58+CJ51)</f>
        <v>261.82479166666667</v>
      </c>
      <c r="EG60" s="26"/>
      <c r="EH60" s="26">
        <v>30</v>
      </c>
      <c r="EI60" s="26">
        <v>93.3</v>
      </c>
      <c r="EJ60" s="26">
        <v>70.400000000000006</v>
      </c>
      <c r="EK60" s="26">
        <v>58</v>
      </c>
      <c r="EL60" s="26">
        <v>39.700000000000003</v>
      </c>
      <c r="EM60" s="26">
        <v>31.1</v>
      </c>
      <c r="EN60" s="26">
        <v>26.1</v>
      </c>
      <c r="EO60" s="26">
        <v>16.7</v>
      </c>
      <c r="EP60" s="26">
        <v>10.4</v>
      </c>
      <c r="EQ60" s="26">
        <v>6</v>
      </c>
      <c r="FF60" s="29">
        <v>56</v>
      </c>
      <c r="FG60" s="29">
        <f t="shared" si="0"/>
        <v>3.5185837720205688</v>
      </c>
      <c r="FH60" s="29">
        <f t="shared" si="5"/>
        <v>0.18956263419459651</v>
      </c>
      <c r="FI60" s="29">
        <f t="shared" si="6"/>
        <v>2.1067054233524618E-2</v>
      </c>
      <c r="FJ60" s="29"/>
      <c r="FL60" s="29">
        <f t="shared" si="7"/>
        <v>0</v>
      </c>
      <c r="FM60" s="29">
        <f t="shared" si="8"/>
        <v>0</v>
      </c>
      <c r="FP60" s="29">
        <f t="shared" si="9"/>
        <v>0</v>
      </c>
      <c r="FQ60" s="29">
        <f t="shared" si="10"/>
        <v>0</v>
      </c>
      <c r="FT60" s="29">
        <f t="shared" si="24"/>
        <v>0.5</v>
      </c>
      <c r="FU60" s="29">
        <f t="shared" si="25"/>
        <v>8.450000000000002E-2</v>
      </c>
      <c r="GK60" s="51">
        <v>56</v>
      </c>
      <c r="GL60" s="51">
        <f t="shared" si="15"/>
        <v>3.5185837720205688</v>
      </c>
      <c r="GM60" s="51">
        <f t="shared" si="16"/>
        <v>0.18956263419459651</v>
      </c>
      <c r="GN60" s="51">
        <f t="shared" si="17"/>
        <v>2.1067054233524618E-2</v>
      </c>
      <c r="GQ60" s="51">
        <f t="shared" si="18"/>
        <v>0</v>
      </c>
      <c r="GR60" s="51">
        <f t="shared" si="19"/>
        <v>0</v>
      </c>
      <c r="GU60" s="51">
        <f t="shared" si="20"/>
        <v>0</v>
      </c>
      <c r="GV60" s="51">
        <f t="shared" si="21"/>
        <v>0</v>
      </c>
      <c r="GY60" s="51">
        <f t="shared" si="26"/>
        <v>0.5</v>
      </c>
      <c r="GZ60" s="51">
        <f t="shared" si="27"/>
        <v>8.450000000000002E-2</v>
      </c>
    </row>
    <row r="61" spans="2:208" ht="15.75" thickBot="1">
      <c r="B61" s="9"/>
      <c r="C61" s="10"/>
      <c r="D61" s="10"/>
      <c r="E61" s="10"/>
      <c r="F61" s="11"/>
      <c r="G61" s="39"/>
      <c r="H61" s="71" t="s">
        <v>105</v>
      </c>
      <c r="I61" s="72"/>
      <c r="J61" s="72"/>
      <c r="K61" s="72"/>
      <c r="L61" s="72"/>
      <c r="M61" s="72"/>
      <c r="N61" s="72"/>
      <c r="O61" s="73"/>
      <c r="P61" s="188">
        <f>IF(P59&lt;=0.5,0.132*(P59/100)-0.00022,0.00044)</f>
        <v>4.4000000000000002E-4</v>
      </c>
      <c r="Q61" s="131"/>
      <c r="R61" s="189"/>
      <c r="S61" s="190"/>
      <c r="T61" s="191"/>
      <c r="U61" s="40"/>
      <c r="V61" s="41"/>
      <c r="W61" s="41"/>
      <c r="X61" s="41"/>
      <c r="Y61" s="41"/>
      <c r="Z61" s="41"/>
      <c r="AA61" s="41"/>
      <c r="AB61" s="41"/>
      <c r="AC61" s="41"/>
      <c r="AD61" s="41"/>
      <c r="AE61" s="34"/>
      <c r="AF61" s="42"/>
      <c r="AG61" s="41"/>
      <c r="AH61" s="41"/>
      <c r="AI61" s="41"/>
      <c r="AJ61" s="43"/>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33"/>
      <c r="CI61" s="53" t="s">
        <v>91</v>
      </c>
      <c r="CJ61" s="29">
        <f>IF(CJ55="N/A","N/A",(2.66*CJ57^1.25)*((6.74*(CJ$22/100)^0.7)+0.4+(CJ59/CJ56)*CJ$23)*1000)</f>
        <v>188.62650113461174</v>
      </c>
      <c r="EG61" s="26"/>
      <c r="EH61" s="26">
        <v>50</v>
      </c>
      <c r="EI61" s="26">
        <v>102.7</v>
      </c>
      <c r="EJ61" s="26">
        <v>78</v>
      </c>
      <c r="EK61" s="26">
        <v>64.5</v>
      </c>
      <c r="EL61" s="26">
        <v>44.3</v>
      </c>
      <c r="EM61" s="26">
        <v>34.9</v>
      </c>
      <c r="EN61" s="26">
        <v>29.2</v>
      </c>
      <c r="EO61" s="26">
        <v>18.7</v>
      </c>
      <c r="EP61" s="26">
        <v>11.7</v>
      </c>
      <c r="EQ61" s="26">
        <v>7</v>
      </c>
      <c r="FF61" s="29">
        <v>57</v>
      </c>
      <c r="FG61" s="29">
        <f t="shared" si="0"/>
        <v>3.5814156250923639</v>
      </c>
      <c r="FH61" s="29">
        <f t="shared" si="5"/>
        <v>0.1722662125304783</v>
      </c>
      <c r="FI61" s="29">
        <f t="shared" si="6"/>
        <v>2.8551884260194116E-2</v>
      </c>
      <c r="FJ61" s="29"/>
      <c r="FL61" s="29">
        <f t="shared" si="7"/>
        <v>0</v>
      </c>
      <c r="FM61" s="29">
        <f t="shared" si="8"/>
        <v>0</v>
      </c>
      <c r="FP61" s="29">
        <f t="shared" si="9"/>
        <v>0</v>
      </c>
      <c r="FQ61" s="29">
        <f t="shared" si="10"/>
        <v>0</v>
      </c>
      <c r="FT61" s="29">
        <f t="shared" si="24"/>
        <v>0.5</v>
      </c>
      <c r="FU61" s="29">
        <f t="shared" si="25"/>
        <v>8.450000000000002E-2</v>
      </c>
      <c r="GK61" s="51">
        <v>57</v>
      </c>
      <c r="GL61" s="51">
        <f t="shared" si="15"/>
        <v>3.5814156250923639</v>
      </c>
      <c r="GM61" s="51">
        <f t="shared" si="16"/>
        <v>0.1722662125304783</v>
      </c>
      <c r="GN61" s="51">
        <f t="shared" si="17"/>
        <v>2.8551884260194116E-2</v>
      </c>
      <c r="GQ61" s="51">
        <f t="shared" si="18"/>
        <v>0</v>
      </c>
      <c r="GR61" s="51">
        <f t="shared" si="19"/>
        <v>0</v>
      </c>
      <c r="GU61" s="51">
        <f t="shared" si="20"/>
        <v>0</v>
      </c>
      <c r="GV61" s="51">
        <f t="shared" si="21"/>
        <v>0</v>
      </c>
      <c r="GY61" s="51">
        <f t="shared" si="26"/>
        <v>0.5</v>
      </c>
      <c r="GZ61" s="51">
        <f t="shared" si="27"/>
        <v>8.450000000000002E-2</v>
      </c>
    </row>
    <row r="62" spans="2:208" ht="15.75" thickBot="1">
      <c r="B62" s="9"/>
      <c r="C62" s="10"/>
      <c r="D62" s="10"/>
      <c r="E62" s="10"/>
      <c r="F62" s="11"/>
      <c r="G62" s="39"/>
      <c r="H62" s="38"/>
      <c r="I62" s="38"/>
      <c r="J62" s="38"/>
      <c r="K62" s="38"/>
      <c r="L62" s="38"/>
      <c r="M62" s="38"/>
      <c r="N62" s="38"/>
      <c r="O62" s="38"/>
      <c r="P62" s="38"/>
      <c r="Q62" s="38"/>
      <c r="R62" s="38"/>
      <c r="S62" s="38"/>
      <c r="T62" s="38"/>
      <c r="U62" s="41"/>
      <c r="V62" s="41"/>
      <c r="W62" s="41"/>
      <c r="X62" s="41"/>
      <c r="Y62" s="41"/>
      <c r="Z62" s="41"/>
      <c r="AA62" s="41"/>
      <c r="AB62" s="41"/>
      <c r="AC62" s="41"/>
      <c r="AD62" s="41"/>
      <c r="AE62" s="34"/>
      <c r="AF62" s="42"/>
      <c r="AG62" s="41"/>
      <c r="AH62" s="41"/>
      <c r="AI62" s="41"/>
      <c r="AJ62" s="43"/>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33"/>
      <c r="CI62" s="53" t="str">
        <f ca="1">IF(CJ61&gt;CJ60*1.2,"Channel Length Can Be Increased",IF(CJ61&gt;CJ60,"Channel Length Is OK","Insufficient Capacity, Decrease Channel Length"))</f>
        <v>Insufficient Capacity, Decrease Channel Length</v>
      </c>
      <c r="EB62" s="1">
        <v>0</v>
      </c>
      <c r="EC62" s="1">
        <v>0</v>
      </c>
      <c r="ED62" s="1">
        <f>EB62</f>
        <v>0</v>
      </c>
      <c r="EG62" s="26"/>
      <c r="EH62" s="26">
        <v>100</v>
      </c>
      <c r="EI62" s="26">
        <v>117</v>
      </c>
      <c r="EJ62" s="26">
        <v>89.5</v>
      </c>
      <c r="EK62" s="26">
        <v>74.599999999999994</v>
      </c>
      <c r="EL62" s="26">
        <v>51.6</v>
      </c>
      <c r="EM62" s="26">
        <v>40.700000000000003</v>
      </c>
      <c r="EN62" s="26">
        <v>34.200000000000003</v>
      </c>
      <c r="EO62" s="26">
        <v>21.9</v>
      </c>
      <c r="EP62" s="26">
        <v>13.6</v>
      </c>
      <c r="EQ62" s="26">
        <v>8</v>
      </c>
      <c r="FF62" s="29">
        <v>58</v>
      </c>
      <c r="FG62" s="29">
        <f t="shared" si="0"/>
        <v>3.6442474781641598</v>
      </c>
      <c r="FH62" s="29">
        <f t="shared" si="5"/>
        <v>0.1554738977694855</v>
      </c>
      <c r="FI62" s="29">
        <f t="shared" si="6"/>
        <v>3.7107995986840892E-2</v>
      </c>
      <c r="FJ62" s="29"/>
      <c r="FL62" s="29">
        <f t="shared" si="7"/>
        <v>0</v>
      </c>
      <c r="FM62" s="29">
        <f t="shared" si="8"/>
        <v>0</v>
      </c>
      <c r="FP62" s="29">
        <f t="shared" si="9"/>
        <v>0</v>
      </c>
      <c r="FQ62" s="29">
        <f t="shared" si="10"/>
        <v>0</v>
      </c>
      <c r="FT62" s="29">
        <f t="shared" si="24"/>
        <v>0.5</v>
      </c>
      <c r="FU62" s="29">
        <f t="shared" si="25"/>
        <v>8.450000000000002E-2</v>
      </c>
      <c r="GK62" s="51">
        <v>58</v>
      </c>
      <c r="GL62" s="51">
        <f t="shared" si="15"/>
        <v>3.6442474781641598</v>
      </c>
      <c r="GM62" s="51">
        <f t="shared" si="16"/>
        <v>0.1554738977694855</v>
      </c>
      <c r="GN62" s="51">
        <f t="shared" si="17"/>
        <v>3.7107995986840892E-2</v>
      </c>
      <c r="GQ62" s="51">
        <f t="shared" si="18"/>
        <v>0</v>
      </c>
      <c r="GR62" s="51">
        <f t="shared" si="19"/>
        <v>0</v>
      </c>
      <c r="GU62" s="51">
        <f t="shared" si="20"/>
        <v>0</v>
      </c>
      <c r="GV62" s="51">
        <f t="shared" si="21"/>
        <v>0</v>
      </c>
      <c r="GY62" s="51">
        <f t="shared" si="26"/>
        <v>0.5</v>
      </c>
      <c r="GZ62" s="51">
        <f t="shared" si="27"/>
        <v>8.450000000000002E-2</v>
      </c>
    </row>
    <row r="63" spans="2:208" ht="15.75" thickBot="1">
      <c r="B63" s="9"/>
      <c r="C63" s="10"/>
      <c r="D63" s="10"/>
      <c r="E63" s="10"/>
      <c r="F63" s="11"/>
      <c r="G63" s="39"/>
      <c r="H63" s="90" t="s">
        <v>106</v>
      </c>
      <c r="I63" s="131"/>
      <c r="J63" s="131"/>
      <c r="K63" s="131"/>
      <c r="L63" s="131"/>
      <c r="M63" s="131"/>
      <c r="N63" s="131"/>
      <c r="O63" s="131"/>
      <c r="P63" s="131"/>
      <c r="Q63" s="131"/>
      <c r="R63" s="131"/>
      <c r="S63" s="131"/>
      <c r="T63" s="132"/>
      <c r="U63" s="40"/>
      <c r="V63" s="41"/>
      <c r="W63" s="41"/>
      <c r="X63" s="41"/>
      <c r="Y63" s="41"/>
      <c r="Z63" s="41"/>
      <c r="AA63" s="41"/>
      <c r="AB63" s="41"/>
      <c r="AC63" s="41"/>
      <c r="AD63" s="41"/>
      <c r="AE63" s="34"/>
      <c r="AF63" s="42"/>
      <c r="AG63" s="41"/>
      <c r="AH63" s="41"/>
      <c r="AI63" s="41"/>
      <c r="AJ63" s="43"/>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33"/>
      <c r="EB63" s="1" t="str">
        <f>H63</f>
        <v>Channel Design</v>
      </c>
      <c r="EC63" s="30">
        <f t="shared" ref="EC63:EC71" si="44">W63</f>
        <v>0</v>
      </c>
      <c r="ED63" s="1" t="str">
        <f t="shared" ref="ED63:ED71" si="45">EB63</f>
        <v>Channel Design</v>
      </c>
      <c r="EG63" s="26"/>
      <c r="EH63" s="26">
        <v>500</v>
      </c>
      <c r="EI63" s="26">
        <v>158.5</v>
      </c>
      <c r="EJ63" s="26">
        <v>123.5</v>
      </c>
      <c r="EK63" s="26">
        <v>104.2</v>
      </c>
      <c r="EL63" s="26">
        <v>73.2</v>
      </c>
      <c r="EM63" s="26">
        <v>58.2</v>
      </c>
      <c r="EN63" s="26">
        <v>49</v>
      </c>
      <c r="EO63" s="26">
        <v>31.6</v>
      </c>
      <c r="EP63" s="26">
        <v>19.5</v>
      </c>
      <c r="EQ63" s="26">
        <v>12</v>
      </c>
      <c r="FF63" s="29">
        <v>59</v>
      </c>
      <c r="FG63" s="29">
        <f t="shared" si="0"/>
        <v>3.7070793312359558</v>
      </c>
      <c r="FH63" s="29">
        <f t="shared" si="5"/>
        <v>0.13925196150630106</v>
      </c>
      <c r="FI63" s="29">
        <f t="shared" si="6"/>
        <v>4.6701622349395455E-2</v>
      </c>
      <c r="FJ63" s="29"/>
      <c r="FL63" s="29">
        <f t="shared" si="7"/>
        <v>0</v>
      </c>
      <c r="FM63" s="29">
        <f t="shared" si="8"/>
        <v>0</v>
      </c>
      <c r="FP63" s="29">
        <f t="shared" si="9"/>
        <v>0</v>
      </c>
      <c r="FQ63" s="29">
        <f t="shared" si="10"/>
        <v>0</v>
      </c>
      <c r="FT63" s="29">
        <f t="shared" si="24"/>
        <v>0.5</v>
      </c>
      <c r="FU63" s="29">
        <f t="shared" si="25"/>
        <v>8.450000000000002E-2</v>
      </c>
      <c r="GK63" s="51">
        <v>59</v>
      </c>
      <c r="GL63" s="51">
        <f t="shared" si="15"/>
        <v>3.7070793312359558</v>
      </c>
      <c r="GM63" s="51">
        <f t="shared" si="16"/>
        <v>0.13925196150630106</v>
      </c>
      <c r="GN63" s="51">
        <f t="shared" si="17"/>
        <v>4.6701622349395455E-2</v>
      </c>
      <c r="GQ63" s="51">
        <f t="shared" si="18"/>
        <v>0</v>
      </c>
      <c r="GR63" s="51">
        <f t="shared" si="19"/>
        <v>0</v>
      </c>
      <c r="GU63" s="51">
        <f t="shared" si="20"/>
        <v>0</v>
      </c>
      <c r="GV63" s="51">
        <f t="shared" si="21"/>
        <v>0</v>
      </c>
      <c r="GY63" s="51">
        <f t="shared" si="26"/>
        <v>0.5</v>
      </c>
      <c r="GZ63" s="51">
        <f t="shared" si="27"/>
        <v>8.450000000000002E-2</v>
      </c>
    </row>
    <row r="64" spans="2:208" ht="15.75" thickBot="1">
      <c r="B64" s="9"/>
      <c r="C64" s="10"/>
      <c r="D64" s="10"/>
      <c r="E64" s="10"/>
      <c r="F64" s="11"/>
      <c r="G64" s="39"/>
      <c r="H64" s="144" t="s">
        <v>107</v>
      </c>
      <c r="I64" s="145"/>
      <c r="J64" s="145"/>
      <c r="K64" s="145"/>
      <c r="L64" s="145"/>
      <c r="M64" s="145"/>
      <c r="N64" s="145"/>
      <c r="O64" s="145"/>
      <c r="P64" s="272" t="s">
        <v>55</v>
      </c>
      <c r="Q64" s="273"/>
      <c r="R64" s="273"/>
      <c r="S64" s="273"/>
      <c r="T64" s="274"/>
      <c r="U64" s="40"/>
      <c r="V64" s="41"/>
      <c r="W64" s="41"/>
      <c r="X64" s="41"/>
      <c r="Y64" s="41"/>
      <c r="Z64" s="41"/>
      <c r="AA64" s="41"/>
      <c r="AB64" s="41"/>
      <c r="AC64" s="41"/>
      <c r="AD64" s="41"/>
      <c r="AE64" s="34"/>
      <c r="AF64" s="42"/>
      <c r="AG64" s="41"/>
      <c r="AH64" s="41"/>
      <c r="AI64" s="41"/>
      <c r="AJ64" s="43"/>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33"/>
      <c r="CI64" s="53" t="s">
        <v>100</v>
      </c>
      <c r="CJ64" s="56">
        <f>IF(HLOOKUP(M$116,CQ$5:CX$11,6,FALSE)&gt;M117,"N/A",HLOOKUP(M$116,CQ$5:CX$11,6,FALSE))</f>
        <v>500</v>
      </c>
      <c r="CK64" s="29" t="s">
        <v>71</v>
      </c>
      <c r="EB64" s="1" t="str">
        <f t="shared" ref="EB64:EB71" si="46">H64</f>
        <v>Channel Type</v>
      </c>
      <c r="EC64" s="30">
        <f t="shared" si="44"/>
        <v>0</v>
      </c>
      <c r="ED64" s="1" t="str">
        <f t="shared" si="45"/>
        <v>Channel Type</v>
      </c>
      <c r="EG64" s="26"/>
      <c r="EH64" s="26">
        <v>1000</v>
      </c>
      <c r="EI64" s="26">
        <v>180.6</v>
      </c>
      <c r="EJ64" s="26">
        <v>141.80000000000001</v>
      </c>
      <c r="EK64" s="26">
        <v>120.4</v>
      </c>
      <c r="EL64" s="26">
        <v>85.1</v>
      </c>
      <c r="EM64" s="26">
        <v>67.900000000000006</v>
      </c>
      <c r="EN64" s="26">
        <v>57.3</v>
      </c>
      <c r="EO64" s="26">
        <v>37</v>
      </c>
      <c r="EP64" s="26">
        <v>22.8</v>
      </c>
      <c r="EQ64" s="26">
        <v>13</v>
      </c>
      <c r="FF64" s="29">
        <v>60</v>
      </c>
      <c r="FG64" s="29">
        <f t="shared" si="0"/>
        <v>3.7699111843077517</v>
      </c>
      <c r="FH64" s="29">
        <f t="shared" si="5"/>
        <v>0.12366442431225808</v>
      </c>
      <c r="FI64" s="29">
        <f t="shared" si="6"/>
        <v>5.729490168751572E-2</v>
      </c>
      <c r="FJ64" s="29"/>
      <c r="FL64" s="29">
        <f t="shared" si="7"/>
        <v>0</v>
      </c>
      <c r="FM64" s="29">
        <f t="shared" si="8"/>
        <v>0</v>
      </c>
      <c r="FP64" s="29">
        <f t="shared" si="9"/>
        <v>0</v>
      </c>
      <c r="FQ64" s="29">
        <f t="shared" si="10"/>
        <v>0</v>
      </c>
      <c r="FT64" s="29">
        <f t="shared" si="24"/>
        <v>0.5</v>
      </c>
      <c r="FU64" s="29">
        <f t="shared" si="25"/>
        <v>8.450000000000002E-2</v>
      </c>
      <c r="GK64" s="51">
        <v>60</v>
      </c>
      <c r="GL64" s="51">
        <f t="shared" si="15"/>
        <v>3.7699111843077517</v>
      </c>
      <c r="GM64" s="51">
        <f t="shared" si="16"/>
        <v>0.12366442431225808</v>
      </c>
      <c r="GN64" s="51">
        <f t="shared" si="17"/>
        <v>5.729490168751572E-2</v>
      </c>
      <c r="GQ64" s="51">
        <f t="shared" si="18"/>
        <v>0</v>
      </c>
      <c r="GR64" s="51">
        <f t="shared" si="19"/>
        <v>0</v>
      </c>
      <c r="GU64" s="51">
        <f t="shared" si="20"/>
        <v>0</v>
      </c>
      <c r="GV64" s="51">
        <f t="shared" si="21"/>
        <v>0</v>
      </c>
      <c r="GY64" s="51">
        <f t="shared" si="26"/>
        <v>0.5</v>
      </c>
      <c r="GZ64" s="51">
        <f t="shared" si="27"/>
        <v>8.450000000000002E-2</v>
      </c>
    </row>
    <row r="65" spans="2:208" ht="15.75" thickBot="1">
      <c r="B65" s="9"/>
      <c r="C65" s="10"/>
      <c r="D65" s="10"/>
      <c r="E65" s="10"/>
      <c r="F65" s="11"/>
      <c r="G65" s="39"/>
      <c r="H65" s="171" t="str">
        <f>IF(P64="Custom","","Channel Size")</f>
        <v>Channel Size</v>
      </c>
      <c r="I65" s="178"/>
      <c r="J65" s="178"/>
      <c r="K65" s="178"/>
      <c r="L65" s="178"/>
      <c r="M65" s="178"/>
      <c r="N65" s="178"/>
      <c r="O65" s="178"/>
      <c r="P65" s="268">
        <v>600</v>
      </c>
      <c r="Q65" s="275"/>
      <c r="R65" s="275"/>
      <c r="S65" s="275"/>
      <c r="T65" s="276"/>
      <c r="U65" s="40"/>
      <c r="V65" s="41"/>
      <c r="W65" s="41"/>
      <c r="X65" s="41"/>
      <c r="Y65" s="41"/>
      <c r="Z65" s="41"/>
      <c r="AA65" s="41"/>
      <c r="AB65" s="41"/>
      <c r="AC65" s="41"/>
      <c r="AD65" s="41"/>
      <c r="AE65" s="34"/>
      <c r="AF65" s="42"/>
      <c r="AG65" s="41"/>
      <c r="AH65" s="41"/>
      <c r="AI65" s="41"/>
      <c r="AJ65" s="43"/>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33"/>
      <c r="CH65" s="29" t="s">
        <v>73</v>
      </c>
      <c r="CI65" s="53" t="s">
        <v>74</v>
      </c>
      <c r="CJ65" s="56">
        <f>IF(CJ64="N/A","N/A",HLOOKUP(M$116,CQ$13:CX$19,6,FALSE))</f>
        <v>0.56799999999999995</v>
      </c>
      <c r="CK65" s="29" t="s">
        <v>1</v>
      </c>
      <c r="EB65" s="1" t="str">
        <f t="shared" si="46"/>
        <v>Channel Size</v>
      </c>
      <c r="EC65" s="30">
        <f t="shared" si="44"/>
        <v>0</v>
      </c>
      <c r="ED65" s="1" t="str">
        <f t="shared" si="45"/>
        <v>Channel Size</v>
      </c>
      <c r="EP65" s="25"/>
      <c r="EQ65" s="25"/>
      <c r="FF65" s="29">
        <v>61</v>
      </c>
      <c r="FG65" s="29">
        <f t="shared" si="0"/>
        <v>3.8327430373795477</v>
      </c>
      <c r="FH65" s="29">
        <f t="shared" si="5"/>
        <v>0.10877280307539311</v>
      </c>
      <c r="FI65" s="29">
        <f t="shared" si="6"/>
        <v>6.8846027167263235E-2</v>
      </c>
      <c r="FJ65" s="29"/>
      <c r="FL65" s="29">
        <f t="shared" si="7"/>
        <v>0</v>
      </c>
      <c r="FM65" s="29">
        <f t="shared" si="8"/>
        <v>0</v>
      </c>
      <c r="FP65" s="29">
        <f t="shared" si="9"/>
        <v>0</v>
      </c>
      <c r="FQ65" s="29">
        <f t="shared" si="10"/>
        <v>0</v>
      </c>
      <c r="FT65" s="29">
        <f t="shared" si="24"/>
        <v>0.5</v>
      </c>
      <c r="FU65" s="29">
        <f t="shared" si="25"/>
        <v>8.450000000000002E-2</v>
      </c>
      <c r="GK65" s="51">
        <v>61</v>
      </c>
      <c r="GL65" s="51">
        <f t="shared" si="15"/>
        <v>3.8327430373795477</v>
      </c>
      <c r="GM65" s="51">
        <f t="shared" si="16"/>
        <v>0.10877280307539311</v>
      </c>
      <c r="GN65" s="51">
        <f t="shared" si="17"/>
        <v>6.8846027167263235E-2</v>
      </c>
      <c r="GQ65" s="51">
        <f t="shared" si="18"/>
        <v>0</v>
      </c>
      <c r="GR65" s="51">
        <f t="shared" si="19"/>
        <v>0</v>
      </c>
      <c r="GU65" s="51">
        <f t="shared" si="20"/>
        <v>0</v>
      </c>
      <c r="GV65" s="51">
        <f t="shared" si="21"/>
        <v>0</v>
      </c>
      <c r="GY65" s="51">
        <f t="shared" si="26"/>
        <v>0.5</v>
      </c>
      <c r="GZ65" s="51">
        <f t="shared" si="27"/>
        <v>8.450000000000002E-2</v>
      </c>
    </row>
    <row r="66" spans="2:208" ht="15.75" thickBot="1">
      <c r="B66" s="9"/>
      <c r="C66" s="10"/>
      <c r="D66" s="10"/>
      <c r="E66" s="10"/>
      <c r="F66" s="11"/>
      <c r="G66" s="39"/>
      <c r="H66" s="83" t="str">
        <f>IF(P64="Custom","Max Water Height","")</f>
        <v/>
      </c>
      <c r="I66" s="84"/>
      <c r="J66" s="84"/>
      <c r="K66" s="84"/>
      <c r="L66" s="84"/>
      <c r="M66" s="84"/>
      <c r="N66" s="84"/>
      <c r="O66" s="92"/>
      <c r="P66" s="282">
        <v>0.5</v>
      </c>
      <c r="Q66" s="283"/>
      <c r="R66" s="284"/>
      <c r="S66" s="166" t="s">
        <v>1</v>
      </c>
      <c r="T66" s="167"/>
      <c r="U66" s="41"/>
      <c r="V66" s="41"/>
      <c r="W66" s="41"/>
      <c r="X66" s="41"/>
      <c r="Y66" s="41"/>
      <c r="Z66" s="41"/>
      <c r="AA66" s="41"/>
      <c r="AB66" s="41"/>
      <c r="AC66" s="41"/>
      <c r="AD66" s="41"/>
      <c r="AE66" s="34"/>
      <c r="AF66" s="42"/>
      <c r="AG66" s="41"/>
      <c r="AH66" s="41"/>
      <c r="AI66" s="41"/>
      <c r="AJ66" s="43"/>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v>0</v>
      </c>
      <c r="CC66" s="54">
        <f t="shared" ref="CC66:CC80" si="47">(2.66*CJ$12^1.25)*((6.74*(CB66/100)^0.7)+0.4+(P$60/CJ$11)*P$61)*1000</f>
        <v>383.92680705663327</v>
      </c>
      <c r="CD66" s="54"/>
      <c r="CE66" s="54"/>
      <c r="CF66" s="54"/>
      <c r="CG66" s="33"/>
      <c r="CH66" s="29" t="s">
        <v>20</v>
      </c>
      <c r="CI66" s="53" t="s">
        <v>75</v>
      </c>
      <c r="CJ66" s="56">
        <f>IF(CJ64="N/A","N/A",HLOOKUP(M$116,CQ$21:CX$27,6,FALSE))</f>
        <v>0.21649299999999999</v>
      </c>
      <c r="CK66" s="29" t="s">
        <v>48</v>
      </c>
      <c r="EB66" s="1" t="str">
        <f t="shared" si="46"/>
        <v/>
      </c>
      <c r="EC66" s="30">
        <f t="shared" si="44"/>
        <v>0</v>
      </c>
      <c r="ED66" s="1" t="str">
        <f t="shared" si="45"/>
        <v/>
      </c>
      <c r="EP66" s="25"/>
      <c r="EQ66" s="25"/>
      <c r="FF66" s="29">
        <v>62</v>
      </c>
      <c r="FG66" s="29">
        <f t="shared" si="0"/>
        <v>3.8955748904513436</v>
      </c>
      <c r="FH66" s="29">
        <f t="shared" si="5"/>
        <v>9.4635868221393388E-2</v>
      </c>
      <c r="FI66" s="29">
        <f t="shared" si="6"/>
        <v>8.1309411773576534E-2</v>
      </c>
      <c r="FJ66" s="29"/>
      <c r="FL66" s="29">
        <f t="shared" si="7"/>
        <v>0</v>
      </c>
      <c r="FM66" s="29">
        <f t="shared" si="8"/>
        <v>0</v>
      </c>
      <c r="FP66" s="29">
        <f t="shared" si="9"/>
        <v>0</v>
      </c>
      <c r="FQ66" s="29">
        <f t="shared" si="10"/>
        <v>0</v>
      </c>
      <c r="FT66" s="29">
        <f t="shared" si="24"/>
        <v>0.5</v>
      </c>
      <c r="FU66" s="29">
        <f t="shared" si="25"/>
        <v>8.450000000000002E-2</v>
      </c>
      <c r="GK66" s="51">
        <v>62</v>
      </c>
      <c r="GL66" s="51">
        <f t="shared" si="15"/>
        <v>3.8955748904513436</v>
      </c>
      <c r="GM66" s="51">
        <f t="shared" si="16"/>
        <v>9.4635868221393388E-2</v>
      </c>
      <c r="GN66" s="51">
        <f t="shared" si="17"/>
        <v>8.1309411773576534E-2</v>
      </c>
      <c r="GQ66" s="51">
        <f t="shared" si="18"/>
        <v>0</v>
      </c>
      <c r="GR66" s="51">
        <f t="shared" si="19"/>
        <v>0</v>
      </c>
      <c r="GU66" s="51">
        <f t="shared" si="20"/>
        <v>0</v>
      </c>
      <c r="GV66" s="51">
        <f t="shared" si="21"/>
        <v>0</v>
      </c>
      <c r="GY66" s="51">
        <f t="shared" si="26"/>
        <v>0.5</v>
      </c>
      <c r="GZ66" s="51">
        <f t="shared" si="27"/>
        <v>8.450000000000002E-2</v>
      </c>
    </row>
    <row r="67" spans="2:208" ht="15.75" thickBot="1">
      <c r="B67" s="9"/>
      <c r="C67" s="10"/>
      <c r="D67" s="10"/>
      <c r="E67" s="10"/>
      <c r="F67" s="11"/>
      <c r="G67" s="39"/>
      <c r="H67" s="93" t="str">
        <f>IF(P64="Custom","Channel Cross Section","")</f>
        <v/>
      </c>
      <c r="I67" s="94"/>
      <c r="J67" s="94"/>
      <c r="K67" s="94"/>
      <c r="L67" s="94"/>
      <c r="M67" s="94"/>
      <c r="N67" s="94"/>
      <c r="O67" s="95"/>
      <c r="P67" s="282">
        <v>0.3</v>
      </c>
      <c r="Q67" s="283"/>
      <c r="R67" s="284"/>
      <c r="S67" s="168" t="s">
        <v>13</v>
      </c>
      <c r="T67" s="169"/>
      <c r="U67" s="41"/>
      <c r="V67" s="41"/>
      <c r="W67" s="41"/>
      <c r="X67" s="41"/>
      <c r="Y67" s="41"/>
      <c r="Z67" s="41"/>
      <c r="AA67" s="41"/>
      <c r="AB67" s="41"/>
      <c r="AC67" s="41"/>
      <c r="AD67" s="41"/>
      <c r="AE67" s="34"/>
      <c r="AF67" s="42"/>
      <c r="AG67" s="41"/>
      <c r="AH67" s="41"/>
      <c r="AI67" s="41"/>
      <c r="AJ67" s="43"/>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1">
        <v>0.01</v>
      </c>
      <c r="CC67" s="54">
        <f t="shared" si="47"/>
        <v>392.98120843358686</v>
      </c>
      <c r="CD67" s="54"/>
      <c r="CE67" s="54"/>
      <c r="CF67" s="54"/>
      <c r="CG67" s="33"/>
      <c r="CI67" s="53" t="s">
        <v>19</v>
      </c>
      <c r="CJ67" s="49">
        <v>17</v>
      </c>
      <c r="EB67" s="1" t="str">
        <f t="shared" si="46"/>
        <v/>
      </c>
      <c r="EC67" s="30">
        <f t="shared" si="44"/>
        <v>0</v>
      </c>
      <c r="ED67" s="1" t="str">
        <f t="shared" si="45"/>
        <v/>
      </c>
      <c r="EG67" s="26" t="s">
        <v>36</v>
      </c>
      <c r="EH67" s="26" t="s">
        <v>16</v>
      </c>
      <c r="EI67" s="26" t="s">
        <v>37</v>
      </c>
      <c r="EJ67" s="26"/>
      <c r="EK67" s="26"/>
      <c r="EL67" s="26"/>
      <c r="EM67" s="26"/>
      <c r="EN67" s="26"/>
      <c r="EO67" s="26"/>
      <c r="EP67" s="26"/>
      <c r="EQ67" s="26"/>
      <c r="FF67" s="29">
        <v>63</v>
      </c>
      <c r="FG67" s="29">
        <f t="shared" si="0"/>
        <v>3.9584067435231391</v>
      </c>
      <c r="FH67" s="29">
        <f t="shared" si="5"/>
        <v>8.130941177357659E-2</v>
      </c>
      <c r="FI67" s="29">
        <f t="shared" si="6"/>
        <v>9.4635868221393304E-2</v>
      </c>
      <c r="FJ67" s="29"/>
      <c r="FL67" s="29">
        <f t="shared" si="7"/>
        <v>0</v>
      </c>
      <c r="FM67" s="29">
        <f t="shared" si="8"/>
        <v>0</v>
      </c>
      <c r="FP67" s="29">
        <f t="shared" si="9"/>
        <v>0</v>
      </c>
      <c r="FQ67" s="29">
        <f t="shared" si="10"/>
        <v>0</v>
      </c>
      <c r="FT67" s="29">
        <f t="shared" si="24"/>
        <v>0.5</v>
      </c>
      <c r="FU67" s="29">
        <f t="shared" si="25"/>
        <v>8.450000000000002E-2</v>
      </c>
      <c r="GK67" s="51">
        <v>63</v>
      </c>
      <c r="GL67" s="51">
        <f t="shared" si="15"/>
        <v>3.9584067435231391</v>
      </c>
      <c r="GM67" s="51">
        <f t="shared" si="16"/>
        <v>8.130941177357659E-2</v>
      </c>
      <c r="GN67" s="51">
        <f t="shared" si="17"/>
        <v>9.4635868221393304E-2</v>
      </c>
      <c r="GQ67" s="51">
        <f t="shared" si="18"/>
        <v>0</v>
      </c>
      <c r="GR67" s="51">
        <f t="shared" si="19"/>
        <v>0</v>
      </c>
      <c r="GU67" s="51">
        <f t="shared" si="20"/>
        <v>0</v>
      </c>
      <c r="GV67" s="51">
        <f t="shared" si="21"/>
        <v>0</v>
      </c>
      <c r="GY67" s="51">
        <f t="shared" si="26"/>
        <v>0.5</v>
      </c>
      <c r="GZ67" s="51">
        <f t="shared" si="27"/>
        <v>8.450000000000002E-2</v>
      </c>
    </row>
    <row r="68" spans="2:208">
      <c r="B68" s="9"/>
      <c r="C68" s="10"/>
      <c r="D68" s="10"/>
      <c r="E68" s="10"/>
      <c r="F68" s="11"/>
      <c r="G68" s="39"/>
      <c r="H68" s="37"/>
      <c r="I68" s="37"/>
      <c r="J68" s="37"/>
      <c r="K68" s="37"/>
      <c r="L68" s="37"/>
      <c r="M68" s="37"/>
      <c r="N68" s="37"/>
      <c r="O68" s="37"/>
      <c r="P68" s="37"/>
      <c r="Q68" s="37"/>
      <c r="R68" s="37"/>
      <c r="S68" s="37"/>
      <c r="T68" s="37"/>
      <c r="U68" s="41"/>
      <c r="V68" s="41"/>
      <c r="W68" s="41"/>
      <c r="X68" s="41"/>
      <c r="Y68" s="41"/>
      <c r="Z68" s="41"/>
      <c r="AA68" s="41"/>
      <c r="AB68" s="41"/>
      <c r="AC68" s="41"/>
      <c r="AD68" s="41"/>
      <c r="AE68" s="34"/>
      <c r="AF68" s="42"/>
      <c r="AG68" s="41"/>
      <c r="AH68" s="41"/>
      <c r="AI68" s="41"/>
      <c r="AJ68" s="43"/>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1">
        <v>0.05</v>
      </c>
      <c r="CC68" s="54">
        <f t="shared" si="47"/>
        <v>411.86116833782836</v>
      </c>
      <c r="CD68" s="54"/>
      <c r="CE68" s="54"/>
      <c r="CF68" s="54"/>
      <c r="CG68" s="33"/>
      <c r="CI68" s="53" t="s">
        <v>94</v>
      </c>
      <c r="CJ68" s="51">
        <f>IF(CJ64="N/A","N/A",SUM(CJ$32+CJ$40+CJ$49+CJ$58+CJ$67))</f>
        <v>76</v>
      </c>
      <c r="EB68" s="1">
        <f>H68</f>
        <v>0</v>
      </c>
      <c r="EC68" s="30">
        <f t="shared" si="44"/>
        <v>0</v>
      </c>
      <c r="ED68" s="1">
        <f t="shared" si="45"/>
        <v>0</v>
      </c>
      <c r="EG68" s="26"/>
      <c r="EH68" s="26"/>
      <c r="EI68" s="26">
        <v>5</v>
      </c>
      <c r="EJ68" s="26">
        <v>10</v>
      </c>
      <c r="EK68" s="26">
        <v>15</v>
      </c>
      <c r="EL68" s="26">
        <v>30</v>
      </c>
      <c r="EM68" s="26">
        <v>45</v>
      </c>
      <c r="EN68" s="26">
        <v>60</v>
      </c>
      <c r="EO68" s="26">
        <v>120</v>
      </c>
      <c r="EP68" s="26">
        <v>240</v>
      </c>
      <c r="EQ68" s="26">
        <v>480</v>
      </c>
      <c r="FF68" s="29">
        <v>64</v>
      </c>
      <c r="FG68" s="29">
        <f t="shared" si="0"/>
        <v>4.0212385965949355</v>
      </c>
      <c r="FH68" s="29">
        <f t="shared" si="5"/>
        <v>6.884602716726318E-2</v>
      </c>
      <c r="FI68" s="29">
        <f t="shared" si="6"/>
        <v>0.10877280307539314</v>
      </c>
      <c r="FJ68" s="29"/>
      <c r="FL68" s="29">
        <f t="shared" si="7"/>
        <v>0</v>
      </c>
      <c r="FM68" s="29">
        <f t="shared" si="8"/>
        <v>0</v>
      </c>
      <c r="FP68" s="29">
        <f t="shared" si="9"/>
        <v>0</v>
      </c>
      <c r="FQ68" s="29">
        <f t="shared" si="10"/>
        <v>0</v>
      </c>
      <c r="FT68" s="29">
        <f t="shared" si="24"/>
        <v>0.5</v>
      </c>
      <c r="FU68" s="29">
        <f t="shared" si="25"/>
        <v>8.450000000000002E-2</v>
      </c>
      <c r="GK68" s="51">
        <v>64</v>
      </c>
      <c r="GL68" s="51">
        <f t="shared" si="15"/>
        <v>4.0212385965949355</v>
      </c>
      <c r="GM68" s="51">
        <f t="shared" si="16"/>
        <v>6.884602716726318E-2</v>
      </c>
      <c r="GN68" s="51">
        <f t="shared" si="17"/>
        <v>0.10877280307539314</v>
      </c>
      <c r="GQ68" s="51">
        <f t="shared" si="18"/>
        <v>0</v>
      </c>
      <c r="GR68" s="51">
        <f t="shared" si="19"/>
        <v>0</v>
      </c>
      <c r="GU68" s="51">
        <f t="shared" si="20"/>
        <v>0</v>
      </c>
      <c r="GV68" s="51">
        <f t="shared" si="21"/>
        <v>0</v>
      </c>
      <c r="GY68" s="51">
        <f t="shared" si="26"/>
        <v>0.5</v>
      </c>
      <c r="GZ68" s="51">
        <f t="shared" si="27"/>
        <v>8.450000000000002E-2</v>
      </c>
    </row>
    <row r="69" spans="2:208">
      <c r="B69" s="9"/>
      <c r="C69" s="10"/>
      <c r="D69" s="10"/>
      <c r="E69" s="10"/>
      <c r="F69" s="11"/>
      <c r="G69" s="39"/>
      <c r="H69" s="37"/>
      <c r="I69" s="37"/>
      <c r="J69" s="37"/>
      <c r="K69" s="37"/>
      <c r="L69" s="37"/>
      <c r="M69" s="37"/>
      <c r="N69" s="37"/>
      <c r="O69" s="37"/>
      <c r="P69" s="37"/>
      <c r="Q69" s="37"/>
      <c r="R69" s="37"/>
      <c r="S69" s="37"/>
      <c r="T69" s="37"/>
      <c r="U69" s="41"/>
      <c r="V69" s="41"/>
      <c r="W69" s="41"/>
      <c r="X69" s="41"/>
      <c r="Y69" s="41"/>
      <c r="Z69" s="41"/>
      <c r="AA69" s="41"/>
      <c r="AB69" s="41"/>
      <c r="AC69" s="41"/>
      <c r="AD69" s="41"/>
      <c r="AE69" s="34"/>
      <c r="AF69" s="42"/>
      <c r="AG69" s="41"/>
      <c r="AH69" s="41"/>
      <c r="AI69" s="41"/>
      <c r="AJ69" s="43"/>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v>0.1</v>
      </c>
      <c r="CC69" s="54">
        <f t="shared" si="47"/>
        <v>429.30631083929643</v>
      </c>
      <c r="CD69" s="54"/>
      <c r="CE69" s="54"/>
      <c r="CF69" s="54"/>
      <c r="CG69" s="33"/>
      <c r="CI69" s="53" t="s">
        <v>90</v>
      </c>
      <c r="CJ69" s="29">
        <f ca="1">IF(CJ64="N/A","N/A",CJ$27*CJ67+CJ60)</f>
        <v>337.26583333333332</v>
      </c>
      <c r="EB69" s="1">
        <f t="shared" si="46"/>
        <v>0</v>
      </c>
      <c r="EC69" s="30">
        <f t="shared" si="44"/>
        <v>0</v>
      </c>
      <c r="ED69" s="1">
        <f t="shared" si="45"/>
        <v>0</v>
      </c>
      <c r="EG69" s="26" t="s">
        <v>38</v>
      </c>
      <c r="EH69" s="26">
        <v>1</v>
      </c>
      <c r="EI69" s="26">
        <v>48.5</v>
      </c>
      <c r="EJ69" s="26">
        <v>34.799999999999997</v>
      </c>
      <c r="EK69" s="26">
        <v>28</v>
      </c>
      <c r="EL69" s="26">
        <v>19</v>
      </c>
      <c r="EM69" s="26">
        <v>15</v>
      </c>
      <c r="EN69" s="26">
        <v>12.7</v>
      </c>
      <c r="EO69" s="26">
        <v>8.3000000000000007</v>
      </c>
      <c r="EP69" s="26">
        <v>5.4</v>
      </c>
      <c r="EQ69" s="26">
        <v>3</v>
      </c>
      <c r="FF69" s="29">
        <v>65</v>
      </c>
      <c r="FG69" s="29">
        <f t="shared" ref="FG69:FG104" si="48">FF69%*2*PI()</f>
        <v>4.0840704496667311</v>
      </c>
      <c r="FH69" s="29">
        <f t="shared" si="5"/>
        <v>5.7294901687515803E-2</v>
      </c>
      <c r="FI69" s="29">
        <f t="shared" si="6"/>
        <v>0.12366442431225802</v>
      </c>
      <c r="FJ69" s="29"/>
      <c r="FL69" s="29">
        <f t="shared" si="7"/>
        <v>0</v>
      </c>
      <c r="FM69" s="29">
        <f t="shared" si="8"/>
        <v>0</v>
      </c>
      <c r="FP69" s="29">
        <f t="shared" si="9"/>
        <v>0</v>
      </c>
      <c r="FQ69" s="29">
        <f t="shared" si="10"/>
        <v>0</v>
      </c>
      <c r="FT69" s="29">
        <f t="shared" si="24"/>
        <v>0.5</v>
      </c>
      <c r="FU69" s="29">
        <f t="shared" si="25"/>
        <v>8.450000000000002E-2</v>
      </c>
      <c r="GK69" s="51">
        <v>65</v>
      </c>
      <c r="GL69" s="51">
        <f t="shared" ref="GL69:GL104" si="49">GK69%*2*PI()</f>
        <v>4.0840704496667311</v>
      </c>
      <c r="GM69" s="51">
        <f t="shared" si="16"/>
        <v>5.7294901687515803E-2</v>
      </c>
      <c r="GN69" s="51">
        <f t="shared" si="17"/>
        <v>0.12366442431225802</v>
      </c>
      <c r="GQ69" s="51">
        <f t="shared" si="18"/>
        <v>0</v>
      </c>
      <c r="GR69" s="51">
        <f t="shared" si="19"/>
        <v>0</v>
      </c>
      <c r="GU69" s="51">
        <f t="shared" si="20"/>
        <v>0</v>
      </c>
      <c r="GV69" s="51">
        <f t="shared" si="21"/>
        <v>0</v>
      </c>
      <c r="GY69" s="51">
        <f t="shared" si="26"/>
        <v>0.5</v>
      </c>
      <c r="GZ69" s="51">
        <f t="shared" si="27"/>
        <v>8.450000000000002E-2</v>
      </c>
    </row>
    <row r="70" spans="2:208">
      <c r="B70" s="9"/>
      <c r="C70" s="10"/>
      <c r="D70" s="10"/>
      <c r="E70" s="10"/>
      <c r="F70" s="11"/>
      <c r="G70" s="39"/>
      <c r="H70" s="37"/>
      <c r="I70" s="37"/>
      <c r="J70" s="37"/>
      <c r="K70" s="37"/>
      <c r="L70" s="37"/>
      <c r="M70" s="37"/>
      <c r="N70" s="37"/>
      <c r="O70" s="37"/>
      <c r="P70" s="37"/>
      <c r="Q70" s="37"/>
      <c r="R70" s="37"/>
      <c r="S70" s="37"/>
      <c r="T70" s="37"/>
      <c r="U70" s="41"/>
      <c r="V70" s="41"/>
      <c r="W70" s="41"/>
      <c r="X70" s="41"/>
      <c r="Y70" s="41"/>
      <c r="Z70" s="41"/>
      <c r="AA70" s="41"/>
      <c r="AB70" s="41"/>
      <c r="AC70" s="41"/>
      <c r="AD70" s="41"/>
      <c r="AE70" s="34"/>
      <c r="AF70" s="42"/>
      <c r="AG70" s="41"/>
      <c r="AH70" s="41"/>
      <c r="AI70" s="41"/>
      <c r="AJ70" s="43"/>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v>0.5</v>
      </c>
      <c r="CC70" s="54">
        <f t="shared" si="47"/>
        <v>523.93025959330294</v>
      </c>
      <c r="CD70" s="54"/>
      <c r="CE70" s="54"/>
      <c r="CF70" s="54"/>
      <c r="CG70" s="33"/>
      <c r="CI70" s="53" t="s">
        <v>91</v>
      </c>
      <c r="CJ70" s="29">
        <f>IF(CJ64="N/A","N/A",(2.66*CJ66^1.25)*((6.74*(CJ$22/100)^0.7)+0.4+(CJ68/CJ65)*CJ$23)*1000)</f>
        <v>330.85556228349191</v>
      </c>
      <c r="EB70" s="1">
        <f t="shared" si="46"/>
        <v>0</v>
      </c>
      <c r="EC70" s="30">
        <f t="shared" si="44"/>
        <v>0</v>
      </c>
      <c r="ED70" s="1">
        <f t="shared" si="45"/>
        <v>0</v>
      </c>
      <c r="EG70" s="26">
        <v>20</v>
      </c>
      <c r="EH70" s="26">
        <v>2</v>
      </c>
      <c r="EI70" s="26">
        <v>59.3</v>
      </c>
      <c r="EJ70" s="26">
        <v>44.3</v>
      </c>
      <c r="EK70" s="26">
        <v>36.1</v>
      </c>
      <c r="EL70" s="26">
        <v>24.5</v>
      </c>
      <c r="EM70" s="26">
        <v>19.2</v>
      </c>
      <c r="EN70" s="26">
        <v>16.100000000000001</v>
      </c>
      <c r="EO70" s="26">
        <v>10.4</v>
      </c>
      <c r="EP70" s="26">
        <v>6.6</v>
      </c>
      <c r="EQ70" s="26">
        <v>4</v>
      </c>
      <c r="FF70" s="29">
        <v>66</v>
      </c>
      <c r="FG70" s="29">
        <f t="shared" si="48"/>
        <v>4.1469023027385274</v>
      </c>
      <c r="FH70" s="29">
        <f t="shared" ref="FH70:FH104" si="50">($P$65/2000)*SIN(FG70)+($P$65/2000)</f>
        <v>4.67016223493954E-2</v>
      </c>
      <c r="FI70" s="29">
        <f t="shared" ref="FI70:FI104" si="51">($P$65/2000)*COS(FG70)+$P$65/2000</f>
        <v>0.13925196150630109</v>
      </c>
      <c r="FJ70" s="29"/>
      <c r="FL70" s="29">
        <f t="shared" ref="FL70:FL104" si="52">IF($P$64="Hexagon",EU70,IF(OR($P$64="Kerbdrain150",$P$64="Kerbdrain280"),FA70,IF(OR($P$64="Channel100",$P$64="Channel150",$P$64="Channel200",$P$64="Channel430"),EW70,IF(AND($P$64="Oval",$CJ$11=0.15),FH70,IF(AND($P$64="Oval",$CJ$11=0.225),FH70,IF(AND($P$64="Oval",$CJ$11=0.35),FH70,IF(AND($P$64="Oval",$CJ$11=0.55),FH70,IF(AND($P$64="Oval",$CJ$11=0.7),FD70,IF(AND($P$64="Oval",$CJ$11=0.9),FD70,"")))))))))</f>
        <v>0</v>
      </c>
      <c r="FM70" s="29">
        <f t="shared" ref="FM70:FM104" si="53">IF($P$64="Hexagon",EV70,IF(OR($P$64="Kerbdrain150",$P$64="Kerbdrain280"),FB70,IF(OR($P$64="Channel100",$P$64="Channel150",$P$64="Channel200",$P$64="Channel430"),EX70,IF(AND($P$64="Oval",$CJ$11=0.15),FI70,IF(AND($P$64="Oval",$CJ$11=0.225),FI70,IF(AND($P$64="Oval",$CJ$11=0.35),FI70,IF(AND($P$64="Oval",$CJ$11=0.55),FI70,IF(AND($P$64="Oval",$CJ$11=0.7),FE70,IF(AND($P$64="Oval",$CJ$11=0.9),FE70,"")))))))))</f>
        <v>0</v>
      </c>
      <c r="FP70" s="29">
        <f t="shared" ref="FP70:FP104" si="54">IF(MAX(FL$5:FM$104)&lt;0.5,FL70*2,FL70)</f>
        <v>0</v>
      </c>
      <c r="FQ70" s="29">
        <f t="shared" ref="FQ70:FQ104" si="55">IF(MAX(FL$5:FM$104)&lt;0.5,FM70*2,FM70)</f>
        <v>0</v>
      </c>
      <c r="FT70" s="29">
        <f t="shared" si="24"/>
        <v>0.5</v>
      </c>
      <c r="FU70" s="29">
        <f t="shared" si="25"/>
        <v>8.450000000000002E-2</v>
      </c>
      <c r="GK70" s="51">
        <v>66</v>
      </c>
      <c r="GL70" s="51">
        <f t="shared" si="49"/>
        <v>4.1469023027385274</v>
      </c>
      <c r="GM70" s="51">
        <f t="shared" ref="GM70:GM104" si="56">($M$117/2000)*SIN(GL70)+($M$117/2000)</f>
        <v>4.67016223493954E-2</v>
      </c>
      <c r="GN70" s="51">
        <f t="shared" ref="GN70:GN104" si="57">($M$117/2000)*COS(GL70)+$M$117/2000</f>
        <v>0.13925196150630109</v>
      </c>
      <c r="GQ70" s="51">
        <f t="shared" ref="GQ70:GQ104" si="58">IF($M$116="Hexagon",FZ70,IF(OR($M$116="Kerbdrain150",$M$116="Kerbdrain280"),GF70,IF(OR($M$116="Channel100",$M$116="Channel150",$M$116="Channel200",$M$116="Channel430"),GB70,IF(AND($M$116="Oval",$CL$11=0.15),GM70,IF(AND($M$116="Oval",$CL$11=0.225),GM70,IF(AND($M$116="Oval",$CL$11=0.35),GM70,IF(AND($M$116="Oval",$CL$11=0.55),GM70,IF(AND($M$116="Oval",$CL$11=0.7),GI70,IF(AND($M$116="Oval",$CL$11=0.9),GI70,"")))))))))</f>
        <v>0</v>
      </c>
      <c r="GR70" s="51">
        <f t="shared" ref="GR70:GR104" si="59">IF($M$116="Hexagon",GA70,IF(OR($M$116="Kerbdrain150",$M$116="Kerbdrain280"),GG70,IF(OR($M$116="Channel100",$M$116="Channel150",$M$116="Channel200",$M$116="Channel430"),GC70,IF(AND($M$116="Oval",$CL$11=0.15),GN70,IF(AND($M$116="Oval",$CL$11=0.225),GN70,IF(AND($M$116="Oval",$CL$11=0.35),GN70,IF(AND($M$116="Oval",$CL$11=0.55),GN70,IF(AND($M$116="Oval",$CL$11=0.7),GJ70,IF(AND($M$116="Oval",$CL$11=0.9),GJ70,"")))))))))</f>
        <v>0</v>
      </c>
      <c r="GU70" s="51">
        <f t="shared" ref="GU70:GU104" si="60">IF(MAX(GQ$5:GR$104)&lt;0.5,GQ70*2,GQ70)</f>
        <v>0</v>
      </c>
      <c r="GV70" s="51">
        <f t="shared" ref="GV70:GV104" si="61">IF(MAX(GQ$5:GR$104)&lt;0.5,GR70*2,GR70)</f>
        <v>0</v>
      </c>
      <c r="GY70" s="51">
        <f t="shared" si="26"/>
        <v>0.5</v>
      </c>
      <c r="GZ70" s="51">
        <f t="shared" si="27"/>
        <v>8.450000000000002E-2</v>
      </c>
    </row>
    <row r="71" spans="2:208">
      <c r="B71" s="9"/>
      <c r="C71" s="10"/>
      <c r="D71" s="10"/>
      <c r="E71" s="10"/>
      <c r="F71" s="11"/>
      <c r="G71" s="39"/>
      <c r="H71" s="37"/>
      <c r="I71" s="37"/>
      <c r="J71" s="37"/>
      <c r="K71" s="37"/>
      <c r="L71" s="37"/>
      <c r="M71" s="37"/>
      <c r="N71" s="37"/>
      <c r="O71" s="37"/>
      <c r="P71" s="37"/>
      <c r="Q71" s="37"/>
      <c r="R71" s="37"/>
      <c r="S71" s="37"/>
      <c r="T71" s="37"/>
      <c r="U71" s="41"/>
      <c r="V71" s="41"/>
      <c r="W71" s="41"/>
      <c r="X71" s="41"/>
      <c r="Y71" s="41"/>
      <c r="Z71" s="41"/>
      <c r="AA71" s="41"/>
      <c r="AB71" s="41"/>
      <c r="AC71" s="41"/>
      <c r="AD71" s="41"/>
      <c r="AE71" s="36"/>
      <c r="AF71" s="42"/>
      <c r="AG71" s="41"/>
      <c r="AH71" s="41"/>
      <c r="AI71" s="41"/>
      <c r="AJ71" s="43"/>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v>1</v>
      </c>
      <c r="CC71" s="54">
        <f t="shared" si="47"/>
        <v>611.36308669874609</v>
      </c>
      <c r="CD71" s="54"/>
      <c r="CE71" s="54"/>
      <c r="CF71" s="54"/>
      <c r="CG71" s="33"/>
      <c r="CI71" s="53" t="str">
        <f ca="1">IF(CJ70&gt;CJ69*1.2,"Channel Length Can Be Increased",IF(CJ70&gt;CJ69,"Channel Length Is OK","Insufficient Capacity, Decrease Channel Length"))</f>
        <v>Insufficient Capacity, Decrease Channel Length</v>
      </c>
      <c r="EB71" s="1">
        <f t="shared" si="46"/>
        <v>0</v>
      </c>
      <c r="EC71" s="30">
        <f t="shared" si="44"/>
        <v>0</v>
      </c>
      <c r="ED71" s="1">
        <f t="shared" si="45"/>
        <v>0</v>
      </c>
      <c r="EG71" s="26" t="s">
        <v>39</v>
      </c>
      <c r="EH71" s="26">
        <v>5</v>
      </c>
      <c r="EI71" s="26">
        <v>78.3</v>
      </c>
      <c r="EJ71" s="26">
        <v>58</v>
      </c>
      <c r="EK71" s="26">
        <v>47</v>
      </c>
      <c r="EL71" s="26">
        <v>31.6</v>
      </c>
      <c r="EM71" s="26">
        <v>24.6</v>
      </c>
      <c r="EN71" s="26">
        <v>20.5</v>
      </c>
      <c r="EO71" s="26">
        <v>13</v>
      </c>
      <c r="EP71" s="26">
        <v>8.1999999999999993</v>
      </c>
      <c r="EQ71" s="26">
        <v>5</v>
      </c>
      <c r="FF71" s="29">
        <v>67</v>
      </c>
      <c r="FG71" s="29">
        <f t="shared" si="48"/>
        <v>4.209734155810323</v>
      </c>
      <c r="FH71" s="29">
        <f t="shared" si="50"/>
        <v>3.7107995986840947E-2</v>
      </c>
      <c r="FI71" s="29">
        <f t="shared" si="51"/>
        <v>0.15547389776948542</v>
      </c>
      <c r="FJ71" s="29"/>
      <c r="FL71" s="29">
        <f t="shared" si="52"/>
        <v>0</v>
      </c>
      <c r="FM71" s="29">
        <f t="shared" si="53"/>
        <v>0</v>
      </c>
      <c r="FP71" s="29">
        <f t="shared" si="54"/>
        <v>0</v>
      </c>
      <c r="FQ71" s="29">
        <f t="shared" si="55"/>
        <v>0</v>
      </c>
      <c r="FT71" s="29">
        <f t="shared" ref="FT71:FT104" si="62">IF(AND(FP71=0,FQ71=0),FT70,FP71+(0.5*(1-MAX(FP$5:FP$104))))</f>
        <v>0.5</v>
      </c>
      <c r="FU71" s="29">
        <f t="shared" ref="FU71:FU104" si="63">IF(AND(FP71=0,FQ71=0),FU70,FQ71+(0.5*(1-MAX(FQ$5:FQ$104))))</f>
        <v>8.450000000000002E-2</v>
      </c>
      <c r="GK71" s="51">
        <v>67</v>
      </c>
      <c r="GL71" s="51">
        <f t="shared" si="49"/>
        <v>4.209734155810323</v>
      </c>
      <c r="GM71" s="51">
        <f t="shared" si="56"/>
        <v>3.7107995986840947E-2</v>
      </c>
      <c r="GN71" s="51">
        <f t="shared" si="57"/>
        <v>0.15547389776948542</v>
      </c>
      <c r="GQ71" s="51">
        <f t="shared" si="58"/>
        <v>0</v>
      </c>
      <c r="GR71" s="51">
        <f t="shared" si="59"/>
        <v>0</v>
      </c>
      <c r="GU71" s="51">
        <f t="shared" si="60"/>
        <v>0</v>
      </c>
      <c r="GV71" s="51">
        <f t="shared" si="61"/>
        <v>0</v>
      </c>
      <c r="GY71" s="51">
        <f t="shared" ref="GY71:GY104" si="64">IF(AND(GU71=0,GV71=0),GY70,GU71+(0.5*(1-MAX(GU$5:GU$104))))</f>
        <v>0.5</v>
      </c>
      <c r="GZ71" s="51">
        <f t="shared" ref="GZ71:GZ104" si="65">IF(AND(GU71=0,GV71=0),GZ70,GV71+(0.5*(1-MAX(GV$5:GV$104))))</f>
        <v>8.450000000000002E-2</v>
      </c>
    </row>
    <row r="72" spans="2:208">
      <c r="B72" s="9"/>
      <c r="C72" s="10"/>
      <c r="D72" s="10"/>
      <c r="E72" s="10"/>
      <c r="F72" s="11"/>
      <c r="G72" s="39"/>
      <c r="H72" s="37"/>
      <c r="I72" s="37"/>
      <c r="J72" s="37"/>
      <c r="K72" s="37"/>
      <c r="L72" s="37"/>
      <c r="M72" s="37"/>
      <c r="N72" s="37"/>
      <c r="O72" s="37"/>
      <c r="P72" s="37"/>
      <c r="Q72" s="37"/>
      <c r="R72" s="37"/>
      <c r="S72" s="37"/>
      <c r="T72" s="37"/>
      <c r="U72" s="41"/>
      <c r="V72" s="41"/>
      <c r="W72" s="41"/>
      <c r="X72" s="41"/>
      <c r="Y72" s="41"/>
      <c r="Z72" s="41"/>
      <c r="AA72" s="41"/>
      <c r="AB72" s="41"/>
      <c r="AC72" s="41"/>
      <c r="AD72" s="41"/>
      <c r="AE72" s="36"/>
      <c r="AF72" s="42"/>
      <c r="AG72" s="41"/>
      <c r="AH72" s="41"/>
      <c r="AI72" s="41"/>
      <c r="AJ72" s="43"/>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v>2</v>
      </c>
      <c r="CC72" s="54">
        <f t="shared" si="47"/>
        <v>753.39813337193914</v>
      </c>
      <c r="CD72" s="54"/>
      <c r="CE72" s="54"/>
      <c r="CF72" s="54"/>
      <c r="CG72" s="33"/>
      <c r="EC72" s="30"/>
      <c r="EG72" s="26">
        <v>0.3</v>
      </c>
      <c r="EH72" s="26">
        <v>10</v>
      </c>
      <c r="EI72" s="26">
        <v>89.5</v>
      </c>
      <c r="EJ72" s="26">
        <v>66.900000000000006</v>
      </c>
      <c r="EK72" s="26">
        <v>54.6</v>
      </c>
      <c r="EL72" s="26">
        <v>36.9</v>
      </c>
      <c r="EM72" s="26">
        <v>28.8</v>
      </c>
      <c r="EN72" s="26">
        <v>24</v>
      </c>
      <c r="EO72" s="26">
        <v>15.2</v>
      </c>
      <c r="EP72" s="26">
        <v>9.5</v>
      </c>
      <c r="EQ72" s="26">
        <v>6</v>
      </c>
      <c r="FF72" s="29">
        <v>68</v>
      </c>
      <c r="FG72" s="29">
        <f t="shared" si="48"/>
        <v>4.2725660088821193</v>
      </c>
      <c r="FH72" s="29">
        <f t="shared" si="50"/>
        <v>2.855188426019406E-2</v>
      </c>
      <c r="FI72" s="29">
        <f t="shared" si="51"/>
        <v>0.17226621253047836</v>
      </c>
      <c r="FJ72" s="29"/>
      <c r="FL72" s="29">
        <f t="shared" si="52"/>
        <v>0</v>
      </c>
      <c r="FM72" s="29">
        <f t="shared" si="53"/>
        <v>0</v>
      </c>
      <c r="FP72" s="29">
        <f t="shared" si="54"/>
        <v>0</v>
      </c>
      <c r="FQ72" s="29">
        <f t="shared" si="55"/>
        <v>0</v>
      </c>
      <c r="FT72" s="29">
        <f t="shared" si="62"/>
        <v>0.5</v>
      </c>
      <c r="FU72" s="29">
        <f t="shared" si="63"/>
        <v>8.450000000000002E-2</v>
      </c>
      <c r="GK72" s="51">
        <v>68</v>
      </c>
      <c r="GL72" s="51">
        <f t="shared" si="49"/>
        <v>4.2725660088821193</v>
      </c>
      <c r="GM72" s="51">
        <f t="shared" si="56"/>
        <v>2.855188426019406E-2</v>
      </c>
      <c r="GN72" s="51">
        <f t="shared" si="57"/>
        <v>0.17226621253047836</v>
      </c>
      <c r="GQ72" s="51">
        <f t="shared" si="58"/>
        <v>0</v>
      </c>
      <c r="GR72" s="51">
        <f t="shared" si="59"/>
        <v>0</v>
      </c>
      <c r="GU72" s="51">
        <f t="shared" si="60"/>
        <v>0</v>
      </c>
      <c r="GV72" s="51">
        <f t="shared" si="61"/>
        <v>0</v>
      </c>
      <c r="GY72" s="51">
        <f t="shared" si="64"/>
        <v>0.5</v>
      </c>
      <c r="GZ72" s="51">
        <f t="shared" si="65"/>
        <v>8.450000000000002E-2</v>
      </c>
    </row>
    <row r="73" spans="2:208">
      <c r="B73" s="9"/>
      <c r="C73" s="10"/>
      <c r="D73" s="10"/>
      <c r="E73" s="10"/>
      <c r="F73" s="11"/>
      <c r="G73" s="39"/>
      <c r="H73" s="37"/>
      <c r="I73" s="37"/>
      <c r="J73" s="37"/>
      <c r="K73" s="37"/>
      <c r="L73" s="37"/>
      <c r="M73" s="37"/>
      <c r="N73" s="37"/>
      <c r="O73" s="37"/>
      <c r="P73" s="37"/>
      <c r="Q73" s="37"/>
      <c r="R73" s="37"/>
      <c r="S73" s="37"/>
      <c r="T73" s="37"/>
      <c r="U73" s="41"/>
      <c r="V73" s="41"/>
      <c r="W73" s="41"/>
      <c r="X73" s="41"/>
      <c r="Y73" s="41"/>
      <c r="Z73" s="41"/>
      <c r="AA73" s="41"/>
      <c r="AB73" s="41"/>
      <c r="AC73" s="41"/>
      <c r="AD73" s="41"/>
      <c r="AE73" s="36"/>
      <c r="AF73" s="42"/>
      <c r="AG73" s="41"/>
      <c r="AH73" s="41"/>
      <c r="AI73" s="41"/>
      <c r="AJ73" s="43"/>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v>3</v>
      </c>
      <c r="CC73" s="54">
        <f t="shared" si="47"/>
        <v>874.65908079213068</v>
      </c>
      <c r="CD73" s="54"/>
      <c r="CE73" s="54"/>
      <c r="CF73" s="54"/>
      <c r="CG73" s="33"/>
      <c r="CI73" s="53" t="s">
        <v>101</v>
      </c>
      <c r="CJ73" s="56">
        <f>IF(HLOOKUP(M$116,CQ$5:CX$11,7,FALSE)&gt;M117,"N/A",HLOOKUP(M$116,CQ$5:CX$11,7,FALSE))</f>
        <v>600</v>
      </c>
      <c r="CK73" s="29" t="s">
        <v>71</v>
      </c>
      <c r="EC73" s="30"/>
      <c r="EG73" s="26"/>
      <c r="EH73" s="26">
        <v>15</v>
      </c>
      <c r="EI73" s="26">
        <v>96.8</v>
      </c>
      <c r="EJ73" s="26">
        <v>72.7</v>
      </c>
      <c r="EK73" s="26">
        <v>59.5</v>
      </c>
      <c r="EL73" s="26">
        <v>40.4</v>
      </c>
      <c r="EM73" s="26">
        <v>31.5</v>
      </c>
      <c r="EN73" s="26">
        <v>26.3</v>
      </c>
      <c r="EO73" s="26">
        <v>16.7</v>
      </c>
      <c r="EP73" s="26">
        <v>10.4</v>
      </c>
      <c r="EQ73" s="26">
        <v>6</v>
      </c>
      <c r="FF73" s="29">
        <v>69</v>
      </c>
      <c r="FG73" s="29">
        <f t="shared" si="48"/>
        <v>4.335397861953914</v>
      </c>
      <c r="FH73" s="29">
        <f t="shared" si="50"/>
        <v>2.1067054233524674E-2</v>
      </c>
      <c r="FI73" s="29">
        <f t="shared" si="51"/>
        <v>0.1895626341945964</v>
      </c>
      <c r="FJ73" s="29"/>
      <c r="FL73" s="29">
        <f t="shared" si="52"/>
        <v>0</v>
      </c>
      <c r="FM73" s="29">
        <f t="shared" si="53"/>
        <v>0</v>
      </c>
      <c r="FP73" s="29">
        <f t="shared" si="54"/>
        <v>0</v>
      </c>
      <c r="FQ73" s="29">
        <f t="shared" si="55"/>
        <v>0</v>
      </c>
      <c r="FT73" s="29">
        <f t="shared" si="62"/>
        <v>0.5</v>
      </c>
      <c r="FU73" s="29">
        <f t="shared" si="63"/>
        <v>8.450000000000002E-2</v>
      </c>
      <c r="GK73" s="51">
        <v>69</v>
      </c>
      <c r="GL73" s="51">
        <f t="shared" si="49"/>
        <v>4.335397861953914</v>
      </c>
      <c r="GM73" s="51">
        <f t="shared" si="56"/>
        <v>2.1067054233524674E-2</v>
      </c>
      <c r="GN73" s="51">
        <f t="shared" si="57"/>
        <v>0.1895626341945964</v>
      </c>
      <c r="GQ73" s="51">
        <f t="shared" si="58"/>
        <v>0</v>
      </c>
      <c r="GR73" s="51">
        <f t="shared" si="59"/>
        <v>0</v>
      </c>
      <c r="GU73" s="51">
        <f t="shared" si="60"/>
        <v>0</v>
      </c>
      <c r="GV73" s="51">
        <f t="shared" si="61"/>
        <v>0</v>
      </c>
      <c r="GY73" s="51">
        <f t="shared" si="64"/>
        <v>0.5</v>
      </c>
      <c r="GZ73" s="51">
        <f t="shared" si="65"/>
        <v>8.450000000000002E-2</v>
      </c>
    </row>
    <row r="74" spans="2:208">
      <c r="B74" s="9"/>
      <c r="C74" s="10"/>
      <c r="D74" s="10"/>
      <c r="E74" s="10"/>
      <c r="F74" s="11"/>
      <c r="G74" s="39"/>
      <c r="H74" s="135" t="s">
        <v>108</v>
      </c>
      <c r="I74" s="136"/>
      <c r="J74" s="136"/>
      <c r="K74" s="136"/>
      <c r="L74" s="136"/>
      <c r="M74" s="136"/>
      <c r="N74" s="136"/>
      <c r="O74" s="136"/>
      <c r="P74" s="136"/>
      <c r="Q74" s="136"/>
      <c r="R74" s="136"/>
      <c r="S74" s="136"/>
      <c r="T74" s="137"/>
      <c r="U74" s="41"/>
      <c r="V74" s="41"/>
      <c r="W74" s="41"/>
      <c r="X74" s="41"/>
      <c r="Y74" s="41"/>
      <c r="Z74" s="41"/>
      <c r="AA74" s="41"/>
      <c r="AB74" s="41"/>
      <c r="AC74" s="41"/>
      <c r="AD74" s="41"/>
      <c r="AE74" s="34"/>
      <c r="AF74" s="42"/>
      <c r="AG74" s="41"/>
      <c r="AH74" s="41"/>
      <c r="AI74" s="41"/>
      <c r="AJ74" s="43"/>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v>4</v>
      </c>
      <c r="CC74" s="54">
        <f t="shared" si="47"/>
        <v>984.1347474256811</v>
      </c>
      <c r="CD74" s="54"/>
      <c r="CE74" s="54"/>
      <c r="CF74" s="54"/>
      <c r="CG74" s="33"/>
      <c r="CH74" s="29" t="s">
        <v>73</v>
      </c>
      <c r="CI74" s="53" t="s">
        <v>74</v>
      </c>
      <c r="CJ74" s="56">
        <f>IF(CJ73="N/A","N/A",HLOOKUP(M$116,CQ$13:CX$19,7,FALSE))</f>
        <v>0.83099999999999996</v>
      </c>
      <c r="CK74" s="29" t="s">
        <v>1</v>
      </c>
      <c r="EG74" s="26"/>
      <c r="EH74" s="26">
        <v>20</v>
      </c>
      <c r="EI74" s="26">
        <v>102.3</v>
      </c>
      <c r="EJ74" s="26">
        <v>77.2</v>
      </c>
      <c r="EK74" s="26">
        <v>63.3</v>
      </c>
      <c r="EL74" s="26">
        <v>43</v>
      </c>
      <c r="EM74" s="26">
        <v>33.700000000000003</v>
      </c>
      <c r="EN74" s="26">
        <v>28.1</v>
      </c>
      <c r="EO74" s="26">
        <v>17.8</v>
      </c>
      <c r="EP74" s="26">
        <v>11</v>
      </c>
      <c r="EQ74" s="26">
        <v>7</v>
      </c>
      <c r="FF74" s="29">
        <v>70</v>
      </c>
      <c r="FG74" s="29">
        <f t="shared" si="48"/>
        <v>4.3982297150257104</v>
      </c>
      <c r="FH74" s="29">
        <f t="shared" si="50"/>
        <v>1.4683045111453963E-2</v>
      </c>
      <c r="FI74" s="29">
        <f t="shared" si="51"/>
        <v>0.20729490168751574</v>
      </c>
      <c r="FJ74" s="29"/>
      <c r="FL74" s="29">
        <f t="shared" si="52"/>
        <v>0</v>
      </c>
      <c r="FM74" s="29">
        <f t="shared" si="53"/>
        <v>0</v>
      </c>
      <c r="FP74" s="29">
        <f t="shared" si="54"/>
        <v>0</v>
      </c>
      <c r="FQ74" s="29">
        <f t="shared" si="55"/>
        <v>0</v>
      </c>
      <c r="FT74" s="29">
        <f t="shared" si="62"/>
        <v>0.5</v>
      </c>
      <c r="FU74" s="29">
        <f t="shared" si="63"/>
        <v>8.450000000000002E-2</v>
      </c>
      <c r="GK74" s="51">
        <v>70</v>
      </c>
      <c r="GL74" s="51">
        <f t="shared" si="49"/>
        <v>4.3982297150257104</v>
      </c>
      <c r="GM74" s="51">
        <f t="shared" si="56"/>
        <v>1.4683045111453963E-2</v>
      </c>
      <c r="GN74" s="51">
        <f t="shared" si="57"/>
        <v>0.20729490168751574</v>
      </c>
      <c r="GQ74" s="51">
        <f t="shared" si="58"/>
        <v>0</v>
      </c>
      <c r="GR74" s="51">
        <f t="shared" si="59"/>
        <v>0</v>
      </c>
      <c r="GU74" s="51">
        <f t="shared" si="60"/>
        <v>0</v>
      </c>
      <c r="GV74" s="51">
        <f t="shared" si="61"/>
        <v>0</v>
      </c>
      <c r="GY74" s="51">
        <f t="shared" si="64"/>
        <v>0.5</v>
      </c>
      <c r="GZ74" s="51">
        <f t="shared" si="65"/>
        <v>8.450000000000002E-2</v>
      </c>
    </row>
    <row r="75" spans="2:208">
      <c r="B75" s="9"/>
      <c r="C75" s="10"/>
      <c r="D75" s="10"/>
      <c r="E75" s="10"/>
      <c r="F75" s="11"/>
      <c r="G75" s="39"/>
      <c r="H75" s="125" t="s">
        <v>109</v>
      </c>
      <c r="I75" s="138"/>
      <c r="J75" s="138"/>
      <c r="K75" s="138"/>
      <c r="L75" s="138"/>
      <c r="M75" s="138"/>
      <c r="N75" s="138"/>
      <c r="O75" s="136"/>
      <c r="P75" s="136"/>
      <c r="Q75" s="136"/>
      <c r="R75" s="136"/>
      <c r="S75" s="136"/>
      <c r="T75" s="136"/>
      <c r="U75" s="136"/>
      <c r="V75" s="137"/>
      <c r="W75" s="122">
        <f ca="1">((HLOOKUP(Y12,INDIRECT(EE$22),ED$20,FALSE))*Y$8*Y$9*(1+$Y$13%))/3600</f>
        <v>443.77083333333331</v>
      </c>
      <c r="X75" s="123"/>
      <c r="Y75" s="124"/>
      <c r="Z75" s="125" t="s">
        <v>2</v>
      </c>
      <c r="AA75" s="126"/>
      <c r="AB75" s="41"/>
      <c r="AC75" s="41"/>
      <c r="AD75" s="41"/>
      <c r="AE75" s="34"/>
      <c r="AF75" s="42"/>
      <c r="AG75" s="41"/>
      <c r="AH75" s="41"/>
      <c r="AI75" s="41"/>
      <c r="AJ75" s="43"/>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v>5</v>
      </c>
      <c r="CC75" s="54">
        <f t="shared" si="47"/>
        <v>1085.6062378078391</v>
      </c>
      <c r="CD75" s="54"/>
      <c r="CE75" s="54"/>
      <c r="CF75" s="54"/>
      <c r="CG75" s="33"/>
      <c r="CH75" s="29" t="s">
        <v>20</v>
      </c>
      <c r="CI75" s="53" t="s">
        <v>75</v>
      </c>
      <c r="CJ75" s="56">
        <f>IF(CJ64="N/A","N/A",HLOOKUP(M$116,CQ$21:CX$27,7,FALSE))</f>
        <v>0.40054800000000002</v>
      </c>
      <c r="CK75" s="29" t="s">
        <v>48</v>
      </c>
      <c r="EG75" s="26"/>
      <c r="EH75" s="26">
        <v>25</v>
      </c>
      <c r="EI75" s="26">
        <v>106.8</v>
      </c>
      <c r="EJ75" s="26">
        <v>80.8</v>
      </c>
      <c r="EK75" s="26">
        <v>66.400000000000006</v>
      </c>
      <c r="EL75" s="26">
        <v>45.2</v>
      </c>
      <c r="EM75" s="26">
        <v>35.4</v>
      </c>
      <c r="EN75" s="26">
        <v>29.6</v>
      </c>
      <c r="EO75" s="26">
        <v>18.7</v>
      </c>
      <c r="EP75" s="26">
        <v>11.6</v>
      </c>
      <c r="EQ75" s="26">
        <v>7</v>
      </c>
      <c r="FF75" s="29">
        <v>71</v>
      </c>
      <c r="FG75" s="29">
        <f t="shared" si="48"/>
        <v>4.4610615680975059</v>
      </c>
      <c r="FH75" s="29">
        <f t="shared" si="50"/>
        <v>9.4250516614107216E-3</v>
      </c>
      <c r="FI75" s="29">
        <f t="shared" si="51"/>
        <v>0.22539303385054341</v>
      </c>
      <c r="FJ75" s="29"/>
      <c r="FL75" s="29">
        <f t="shared" si="52"/>
        <v>0</v>
      </c>
      <c r="FM75" s="29">
        <f t="shared" si="53"/>
        <v>0</v>
      </c>
      <c r="FP75" s="29">
        <f t="shared" si="54"/>
        <v>0</v>
      </c>
      <c r="FQ75" s="29">
        <f t="shared" si="55"/>
        <v>0</v>
      </c>
      <c r="FT75" s="29">
        <f t="shared" si="62"/>
        <v>0.5</v>
      </c>
      <c r="FU75" s="29">
        <f t="shared" si="63"/>
        <v>8.450000000000002E-2</v>
      </c>
      <c r="GK75" s="51">
        <v>71</v>
      </c>
      <c r="GL75" s="51">
        <f t="shared" si="49"/>
        <v>4.4610615680975059</v>
      </c>
      <c r="GM75" s="51">
        <f t="shared" si="56"/>
        <v>9.4250516614107216E-3</v>
      </c>
      <c r="GN75" s="51">
        <f t="shared" si="57"/>
        <v>0.22539303385054341</v>
      </c>
      <c r="GQ75" s="51">
        <f t="shared" si="58"/>
        <v>0</v>
      </c>
      <c r="GR75" s="51">
        <f t="shared" si="59"/>
        <v>0</v>
      </c>
      <c r="GU75" s="51">
        <f t="shared" si="60"/>
        <v>0</v>
      </c>
      <c r="GV75" s="51">
        <f t="shared" si="61"/>
        <v>0</v>
      </c>
      <c r="GY75" s="51">
        <f t="shared" si="64"/>
        <v>0.5</v>
      </c>
      <c r="GZ75" s="51">
        <f t="shared" si="65"/>
        <v>8.450000000000002E-2</v>
      </c>
    </row>
    <row r="76" spans="2:208">
      <c r="B76" s="9"/>
      <c r="C76" s="10"/>
      <c r="D76" s="10"/>
      <c r="E76" s="10"/>
      <c r="F76" s="11"/>
      <c r="G76" s="39"/>
      <c r="H76" s="118" t="s">
        <v>113</v>
      </c>
      <c r="I76" s="119"/>
      <c r="J76" s="119"/>
      <c r="K76" s="119"/>
      <c r="L76" s="119"/>
      <c r="M76" s="119"/>
      <c r="N76" s="119"/>
      <c r="O76" s="119"/>
      <c r="P76" s="119"/>
      <c r="Q76" s="119"/>
      <c r="R76" s="119"/>
      <c r="S76" s="120"/>
      <c r="T76" s="120"/>
      <c r="U76" s="120"/>
      <c r="V76" s="121"/>
      <c r="W76" s="122">
        <f>(2.66*CJ$12^1.25)*((6.74*(P$59/100)^0.7)+0.4+(P$60/CJ$11)*P$61)*1000</f>
        <v>611.36308669874609</v>
      </c>
      <c r="X76" s="123"/>
      <c r="Y76" s="124"/>
      <c r="Z76" s="125" t="s">
        <v>2</v>
      </c>
      <c r="AA76" s="126"/>
      <c r="AB76" s="41"/>
      <c r="AC76" s="41"/>
      <c r="AD76" s="41"/>
      <c r="AE76" s="34"/>
      <c r="AF76" s="127" t="str">
        <f ca="1">IF(OR(W75&lt;W76,W75=0),"Acceptable","Too Small")</f>
        <v>Acceptable</v>
      </c>
      <c r="AG76" s="128"/>
      <c r="AH76" s="128"/>
      <c r="AI76" s="128"/>
      <c r="AJ76" s="129"/>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v>6</v>
      </c>
      <c r="CC76" s="54">
        <f t="shared" si="47"/>
        <v>1181.1237376786373</v>
      </c>
      <c r="CD76" s="54"/>
      <c r="CE76" s="54"/>
      <c r="CF76" s="54"/>
      <c r="CG76" s="33"/>
      <c r="CI76" s="53" t="s">
        <v>19</v>
      </c>
      <c r="CJ76" s="49">
        <v>17</v>
      </c>
      <c r="EG76" s="26"/>
      <c r="EH76" s="26">
        <v>30</v>
      </c>
      <c r="EI76" s="26">
        <v>110.6</v>
      </c>
      <c r="EJ76" s="26">
        <v>83.9</v>
      </c>
      <c r="EK76" s="26">
        <v>69</v>
      </c>
      <c r="EL76" s="26">
        <v>47.1</v>
      </c>
      <c r="EM76" s="26">
        <v>36.9</v>
      </c>
      <c r="EN76" s="26">
        <v>30.8</v>
      </c>
      <c r="EO76" s="26">
        <v>19.5</v>
      </c>
      <c r="EP76" s="26">
        <v>12.1</v>
      </c>
      <c r="EQ76" s="26">
        <v>7</v>
      </c>
      <c r="FF76" s="29">
        <v>72</v>
      </c>
      <c r="FG76" s="29">
        <f t="shared" si="48"/>
        <v>4.5238934211693023</v>
      </c>
      <c r="FH76" s="29">
        <f t="shared" si="50"/>
        <v>5.3138247813933615E-3</v>
      </c>
      <c r="FI76" s="29">
        <f t="shared" si="51"/>
        <v>0.24378560562428259</v>
      </c>
      <c r="FJ76" s="29"/>
      <c r="FL76" s="29">
        <f t="shared" si="52"/>
        <v>0</v>
      </c>
      <c r="FM76" s="29">
        <f t="shared" si="53"/>
        <v>0</v>
      </c>
      <c r="FP76" s="29">
        <f t="shared" si="54"/>
        <v>0</v>
      </c>
      <c r="FQ76" s="29">
        <f t="shared" si="55"/>
        <v>0</v>
      </c>
      <c r="FT76" s="29">
        <f t="shared" si="62"/>
        <v>0.5</v>
      </c>
      <c r="FU76" s="29">
        <f t="shared" si="63"/>
        <v>8.450000000000002E-2</v>
      </c>
      <c r="GK76" s="51">
        <v>72</v>
      </c>
      <c r="GL76" s="51">
        <f t="shared" si="49"/>
        <v>4.5238934211693023</v>
      </c>
      <c r="GM76" s="51">
        <f t="shared" si="56"/>
        <v>5.3138247813933615E-3</v>
      </c>
      <c r="GN76" s="51">
        <f t="shared" si="57"/>
        <v>0.24378560562428259</v>
      </c>
      <c r="GQ76" s="51">
        <f t="shared" si="58"/>
        <v>0</v>
      </c>
      <c r="GR76" s="51">
        <f t="shared" si="59"/>
        <v>0</v>
      </c>
      <c r="GU76" s="51">
        <f t="shared" si="60"/>
        <v>0</v>
      </c>
      <c r="GV76" s="51">
        <f t="shared" si="61"/>
        <v>0</v>
      </c>
      <c r="GY76" s="51">
        <f t="shared" si="64"/>
        <v>0.5</v>
      </c>
      <c r="GZ76" s="51">
        <f t="shared" si="65"/>
        <v>8.450000000000002E-2</v>
      </c>
    </row>
    <row r="77" spans="2:208">
      <c r="B77" s="9"/>
      <c r="C77" s="10"/>
      <c r="D77" s="10"/>
      <c r="E77" s="10"/>
      <c r="F77" s="11"/>
      <c r="G77" s="39"/>
      <c r="H77" s="37"/>
      <c r="I77" s="37"/>
      <c r="J77" s="37"/>
      <c r="K77" s="37"/>
      <c r="L77" s="37"/>
      <c r="M77" s="37"/>
      <c r="N77" s="37"/>
      <c r="O77" s="37"/>
      <c r="P77" s="37"/>
      <c r="Q77" s="37"/>
      <c r="R77" s="37"/>
      <c r="S77" s="37"/>
      <c r="T77" s="37"/>
      <c r="U77" s="41"/>
      <c r="V77" s="41"/>
      <c r="W77" s="41"/>
      <c r="X77" s="41"/>
      <c r="Y77" s="41"/>
      <c r="Z77" s="41"/>
      <c r="AA77" s="41"/>
      <c r="AB77" s="41"/>
      <c r="AC77" s="41"/>
      <c r="AD77" s="41"/>
      <c r="AE77" s="34"/>
      <c r="AF77" s="42"/>
      <c r="AG77" s="41"/>
      <c r="AH77" s="41"/>
      <c r="AI77" s="41"/>
      <c r="AJ77" s="43"/>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v>7</v>
      </c>
      <c r="CC77" s="54">
        <f t="shared" si="47"/>
        <v>1271.9583058809931</v>
      </c>
      <c r="CD77" s="54"/>
      <c r="CE77" s="54"/>
      <c r="CF77" s="54"/>
      <c r="CG77" s="33"/>
      <c r="CI77" s="53" t="s">
        <v>94</v>
      </c>
      <c r="CJ77" s="51">
        <f>IF(CJ64="N/A","N/A",SUM(CJ$32+CJ$40+CJ$49+CJ$58+CJ$67+CJ$76))</f>
        <v>93</v>
      </c>
      <c r="EG77" s="26"/>
      <c r="EH77" s="26">
        <v>50</v>
      </c>
      <c r="EI77" s="26">
        <v>122</v>
      </c>
      <c r="EJ77" s="26">
        <v>93.2</v>
      </c>
      <c r="EK77" s="26">
        <v>76.900000000000006</v>
      </c>
      <c r="EL77" s="26">
        <v>52.7</v>
      </c>
      <c r="EM77" s="26">
        <v>41.4</v>
      </c>
      <c r="EN77" s="26">
        <v>34.6</v>
      </c>
      <c r="EO77" s="26">
        <v>21.9</v>
      </c>
      <c r="EP77" s="26">
        <v>13.5</v>
      </c>
      <c r="EQ77" s="26">
        <v>8</v>
      </c>
      <c r="FF77" s="29">
        <v>73</v>
      </c>
      <c r="FG77" s="29">
        <f t="shared" si="48"/>
        <v>4.5867252742410978</v>
      </c>
      <c r="FH77" s="29">
        <f t="shared" si="50"/>
        <v>2.3655896056566927E-3</v>
      </c>
      <c r="FI77" s="29">
        <f t="shared" si="51"/>
        <v>0.2624000299307086</v>
      </c>
      <c r="FJ77" s="29"/>
      <c r="FL77" s="29">
        <f t="shared" si="52"/>
        <v>0</v>
      </c>
      <c r="FM77" s="29">
        <f t="shared" si="53"/>
        <v>0</v>
      </c>
      <c r="FP77" s="29">
        <f t="shared" si="54"/>
        <v>0</v>
      </c>
      <c r="FQ77" s="29">
        <f t="shared" si="55"/>
        <v>0</v>
      </c>
      <c r="FT77" s="29">
        <f t="shared" si="62"/>
        <v>0.5</v>
      </c>
      <c r="FU77" s="29">
        <f t="shared" si="63"/>
        <v>8.450000000000002E-2</v>
      </c>
      <c r="GK77" s="51">
        <v>73</v>
      </c>
      <c r="GL77" s="51">
        <f t="shared" si="49"/>
        <v>4.5867252742410978</v>
      </c>
      <c r="GM77" s="51">
        <f t="shared" si="56"/>
        <v>2.3655896056566927E-3</v>
      </c>
      <c r="GN77" s="51">
        <f t="shared" si="57"/>
        <v>0.2624000299307086</v>
      </c>
      <c r="GQ77" s="51">
        <f t="shared" si="58"/>
        <v>0</v>
      </c>
      <c r="GR77" s="51">
        <f t="shared" si="59"/>
        <v>0</v>
      </c>
      <c r="GU77" s="51">
        <f t="shared" si="60"/>
        <v>0</v>
      </c>
      <c r="GV77" s="51">
        <f t="shared" si="61"/>
        <v>0</v>
      </c>
      <c r="GY77" s="51">
        <f t="shared" si="64"/>
        <v>0.5</v>
      </c>
      <c r="GZ77" s="51">
        <f t="shared" si="65"/>
        <v>8.450000000000002E-2</v>
      </c>
    </row>
    <row r="78" spans="2:208">
      <c r="B78" s="9"/>
      <c r="C78" s="10"/>
      <c r="D78" s="10"/>
      <c r="E78" s="10"/>
      <c r="F78" s="11"/>
      <c r="G78" s="55"/>
      <c r="H78" s="37"/>
      <c r="I78" s="37"/>
      <c r="J78" s="37"/>
      <c r="K78" s="37"/>
      <c r="L78" s="37"/>
      <c r="M78" s="37"/>
      <c r="N78" s="37"/>
      <c r="O78" s="37"/>
      <c r="P78" s="37"/>
      <c r="Q78" s="37"/>
      <c r="R78" s="37"/>
      <c r="S78" s="37"/>
      <c r="T78" s="37"/>
      <c r="U78" s="41"/>
      <c r="V78" s="41"/>
      <c r="W78" s="41"/>
      <c r="X78" s="41"/>
      <c r="Y78" s="41"/>
      <c r="Z78" s="41"/>
      <c r="AA78" s="41"/>
      <c r="AB78" s="41"/>
      <c r="AC78" s="41"/>
      <c r="AD78" s="41"/>
      <c r="AE78" s="36"/>
      <c r="AF78" s="42"/>
      <c r="AG78" s="41"/>
      <c r="AH78" s="41"/>
      <c r="AI78" s="41"/>
      <c r="AJ78" s="43"/>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v>8</v>
      </c>
      <c r="CC78" s="54">
        <f t="shared" si="47"/>
        <v>1358.9674828102322</v>
      </c>
      <c r="CD78" s="54"/>
      <c r="CE78" s="54"/>
      <c r="CF78" s="54"/>
      <c r="CG78" s="33"/>
      <c r="CI78" s="53" t="s">
        <v>90</v>
      </c>
      <c r="CJ78" s="29">
        <f ca="1">IF(CJ64="N/A","N/A",CJ$27*CJ76+CJ69)</f>
        <v>412.70687499999997</v>
      </c>
      <c r="EG78" s="26"/>
      <c r="EH78" s="26">
        <v>100</v>
      </c>
      <c r="EI78" s="26">
        <v>139.4</v>
      </c>
      <c r="EJ78" s="26">
        <v>107.6</v>
      </c>
      <c r="EK78" s="26">
        <v>89.2</v>
      </c>
      <c r="EL78" s="26">
        <v>61.5</v>
      </c>
      <c r="EM78" s="26">
        <v>48.4</v>
      </c>
      <c r="EN78" s="26">
        <v>40.5</v>
      </c>
      <c r="EO78" s="26">
        <v>25.6</v>
      </c>
      <c r="EP78" s="26">
        <v>15.6</v>
      </c>
      <c r="EQ78" s="26">
        <v>9</v>
      </c>
      <c r="FF78" s="29">
        <v>74</v>
      </c>
      <c r="FG78" s="29">
        <f t="shared" si="48"/>
        <v>4.6495571273128942</v>
      </c>
      <c r="FH78" s="29">
        <f t="shared" si="50"/>
        <v>5.9198147151851011E-4</v>
      </c>
      <c r="FI78" s="29">
        <f t="shared" si="51"/>
        <v>0.28116284414120601</v>
      </c>
      <c r="FJ78" s="29"/>
      <c r="FL78" s="29">
        <f t="shared" si="52"/>
        <v>0</v>
      </c>
      <c r="FM78" s="29">
        <f t="shared" si="53"/>
        <v>0</v>
      </c>
      <c r="FP78" s="29">
        <f t="shared" si="54"/>
        <v>0</v>
      </c>
      <c r="FQ78" s="29">
        <f t="shared" si="55"/>
        <v>0</v>
      </c>
      <c r="FT78" s="29">
        <f t="shared" si="62"/>
        <v>0.5</v>
      </c>
      <c r="FU78" s="29">
        <f t="shared" si="63"/>
        <v>8.450000000000002E-2</v>
      </c>
      <c r="GK78" s="51">
        <v>74</v>
      </c>
      <c r="GL78" s="51">
        <f t="shared" si="49"/>
        <v>4.6495571273128942</v>
      </c>
      <c r="GM78" s="51">
        <f t="shared" si="56"/>
        <v>5.9198147151851011E-4</v>
      </c>
      <c r="GN78" s="51">
        <f t="shared" si="57"/>
        <v>0.28116284414120601</v>
      </c>
      <c r="GQ78" s="51">
        <f t="shared" si="58"/>
        <v>0</v>
      </c>
      <c r="GR78" s="51">
        <f t="shared" si="59"/>
        <v>0</v>
      </c>
      <c r="GU78" s="51">
        <f t="shared" si="60"/>
        <v>0</v>
      </c>
      <c r="GV78" s="51">
        <f t="shared" si="61"/>
        <v>0</v>
      </c>
      <c r="GY78" s="51">
        <f t="shared" si="64"/>
        <v>0.5</v>
      </c>
      <c r="GZ78" s="51">
        <f t="shared" si="65"/>
        <v>8.450000000000002E-2</v>
      </c>
    </row>
    <row r="79" spans="2:208">
      <c r="B79" s="9"/>
      <c r="C79" s="10"/>
      <c r="D79" s="10"/>
      <c r="E79" s="10"/>
      <c r="F79" s="11"/>
      <c r="G79" s="55"/>
      <c r="H79" s="37"/>
      <c r="I79" s="37"/>
      <c r="J79" s="37"/>
      <c r="K79" s="37"/>
      <c r="L79" s="37"/>
      <c r="M79" s="37"/>
      <c r="N79" s="37"/>
      <c r="O79" s="37"/>
      <c r="P79" s="37"/>
      <c r="Q79" s="37"/>
      <c r="R79" s="37"/>
      <c r="S79" s="37"/>
      <c r="T79" s="37"/>
      <c r="U79" s="41"/>
      <c r="V79" s="41"/>
      <c r="W79" s="41"/>
      <c r="X79" s="41"/>
      <c r="Y79" s="41"/>
      <c r="Z79" s="41"/>
      <c r="AA79" s="41"/>
      <c r="AB79" s="41"/>
      <c r="AC79" s="41"/>
      <c r="AD79" s="41"/>
      <c r="AE79" s="36"/>
      <c r="AF79" s="42"/>
      <c r="AG79" s="41"/>
      <c r="AH79" s="41"/>
      <c r="AI79" s="41"/>
      <c r="AJ79" s="43"/>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v>9</v>
      </c>
      <c r="CC79" s="54">
        <f t="shared" si="47"/>
        <v>1442.7647587877987</v>
      </c>
      <c r="CD79" s="54"/>
      <c r="CE79" s="54"/>
      <c r="CF79" s="54"/>
      <c r="CG79" s="33"/>
      <c r="CI79" s="53" t="s">
        <v>91</v>
      </c>
      <c r="CJ79" s="29">
        <f>IF(CJ64="N/A","N/A",(2.66*CJ75^1.25)*((6.74*(CJ$22/100)^0.7)+0.4+(CJ77/CJ74)*CJ$23)*1000)</f>
        <v>705.76003476143876</v>
      </c>
      <c r="EG79" s="26"/>
      <c r="EH79" s="26">
        <v>500</v>
      </c>
      <c r="EI79" s="26">
        <v>190</v>
      </c>
      <c r="EJ79" s="26">
        <v>150</v>
      </c>
      <c r="EK79" s="26">
        <v>125.9</v>
      </c>
      <c r="EL79" s="26">
        <v>88</v>
      </c>
      <c r="EM79" s="26">
        <v>69.7</v>
      </c>
      <c r="EN79" s="26">
        <v>58.4</v>
      </c>
      <c r="EO79" s="26">
        <v>36.9</v>
      </c>
      <c r="EP79" s="26">
        <v>22.1</v>
      </c>
      <c r="EQ79" s="26">
        <v>13</v>
      </c>
      <c r="FF79" s="29">
        <v>75</v>
      </c>
      <c r="FG79" s="29">
        <f t="shared" si="48"/>
        <v>4.7123889803846897</v>
      </c>
      <c r="FH79" s="29">
        <f t="shared" si="50"/>
        <v>0</v>
      </c>
      <c r="FI79" s="29">
        <f t="shared" si="51"/>
        <v>0.29999999999999993</v>
      </c>
      <c r="FJ79" s="29"/>
      <c r="FL79" s="29">
        <f t="shared" si="52"/>
        <v>0</v>
      </c>
      <c r="FM79" s="29">
        <f t="shared" si="53"/>
        <v>0</v>
      </c>
      <c r="FP79" s="29">
        <f t="shared" si="54"/>
        <v>0</v>
      </c>
      <c r="FQ79" s="29">
        <f t="shared" si="55"/>
        <v>0</v>
      </c>
      <c r="FT79" s="29">
        <f t="shared" si="62"/>
        <v>0.5</v>
      </c>
      <c r="FU79" s="29">
        <f t="shared" si="63"/>
        <v>8.450000000000002E-2</v>
      </c>
      <c r="GK79" s="51">
        <v>75</v>
      </c>
      <c r="GL79" s="51">
        <f t="shared" si="49"/>
        <v>4.7123889803846897</v>
      </c>
      <c r="GM79" s="51">
        <f t="shared" si="56"/>
        <v>0</v>
      </c>
      <c r="GN79" s="51">
        <f t="shared" si="57"/>
        <v>0.29999999999999993</v>
      </c>
      <c r="GQ79" s="51">
        <f t="shared" si="58"/>
        <v>0</v>
      </c>
      <c r="GR79" s="51">
        <f t="shared" si="59"/>
        <v>0</v>
      </c>
      <c r="GU79" s="51">
        <f t="shared" si="60"/>
        <v>0</v>
      </c>
      <c r="GV79" s="51">
        <f t="shared" si="61"/>
        <v>0</v>
      </c>
      <c r="GY79" s="51">
        <f t="shared" si="64"/>
        <v>0.5</v>
      </c>
      <c r="GZ79" s="51">
        <f t="shared" si="65"/>
        <v>8.450000000000002E-2</v>
      </c>
    </row>
    <row r="80" spans="2:208">
      <c r="B80" s="9"/>
      <c r="C80" s="10"/>
      <c r="D80" s="10"/>
      <c r="E80" s="10"/>
      <c r="F80" s="11"/>
      <c r="G80" s="55"/>
      <c r="H80" s="37"/>
      <c r="I80" s="37"/>
      <c r="J80" s="37"/>
      <c r="K80" s="37"/>
      <c r="L80" s="37"/>
      <c r="M80" s="37"/>
      <c r="N80" s="37"/>
      <c r="O80" s="37"/>
      <c r="P80" s="37"/>
      <c r="Q80" s="37"/>
      <c r="R80" s="37"/>
      <c r="S80" s="37"/>
      <c r="T80" s="37"/>
      <c r="U80" s="41"/>
      <c r="V80" s="41"/>
      <c r="W80" s="41"/>
      <c r="X80" s="41"/>
      <c r="Y80" s="41"/>
      <c r="Z80" s="41"/>
      <c r="AA80" s="41"/>
      <c r="AB80" s="41"/>
      <c r="AC80" s="41"/>
      <c r="AD80" s="41"/>
      <c r="AE80" s="36"/>
      <c r="AF80" s="42"/>
      <c r="AG80" s="41"/>
      <c r="AH80" s="41"/>
      <c r="AI80" s="41"/>
      <c r="AJ80" s="43"/>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v>10</v>
      </c>
      <c r="CC80" s="54">
        <f t="shared" si="47"/>
        <v>1523.8084052597251</v>
      </c>
      <c r="CD80" s="54"/>
      <c r="CE80" s="54"/>
      <c r="CF80" s="54"/>
      <c r="CG80" s="33"/>
      <c r="CI80" s="53" t="str">
        <f ca="1">IF(CJ79&gt;CJ78*1.2,"Channel Length Can Be Increased",IF(CJ79&gt;CJ78,"Channel Length Is OK","Insufficient Capacity, Decrease Channel Length"))</f>
        <v>Channel Length Can Be Increased</v>
      </c>
      <c r="EG80" s="26"/>
      <c r="EH80" s="26">
        <v>1000</v>
      </c>
      <c r="EI80" s="26">
        <v>217.1</v>
      </c>
      <c r="EJ80" s="26">
        <v>173.1</v>
      </c>
      <c r="EK80" s="26">
        <v>145.9</v>
      </c>
      <c r="EL80" s="26">
        <v>102.7</v>
      </c>
      <c r="EM80" s="26">
        <v>81.5</v>
      </c>
      <c r="EN80" s="26">
        <v>68.400000000000006</v>
      </c>
      <c r="EO80" s="26">
        <v>43.1</v>
      </c>
      <c r="EP80" s="26">
        <v>25.7</v>
      </c>
      <c r="EQ80" s="26">
        <v>15</v>
      </c>
      <c r="FF80" s="29">
        <v>76</v>
      </c>
      <c r="FG80" s="29">
        <f t="shared" si="48"/>
        <v>4.7752208334564852</v>
      </c>
      <c r="FH80" s="29">
        <f t="shared" si="50"/>
        <v>5.9198147151851011E-4</v>
      </c>
      <c r="FI80" s="29">
        <f t="shared" si="51"/>
        <v>0.31883715585879385</v>
      </c>
      <c r="FJ80" s="29"/>
      <c r="FL80" s="29">
        <f t="shared" si="52"/>
        <v>0</v>
      </c>
      <c r="FM80" s="29">
        <f t="shared" si="53"/>
        <v>0</v>
      </c>
      <c r="FP80" s="29">
        <f t="shared" si="54"/>
        <v>0</v>
      </c>
      <c r="FQ80" s="29">
        <f t="shared" si="55"/>
        <v>0</v>
      </c>
      <c r="FT80" s="29">
        <f t="shared" si="62"/>
        <v>0.5</v>
      </c>
      <c r="FU80" s="29">
        <f t="shared" si="63"/>
        <v>8.450000000000002E-2</v>
      </c>
      <c r="GK80" s="51">
        <v>76</v>
      </c>
      <c r="GL80" s="51">
        <f t="shared" si="49"/>
        <v>4.7752208334564852</v>
      </c>
      <c r="GM80" s="51">
        <f t="shared" si="56"/>
        <v>5.9198147151851011E-4</v>
      </c>
      <c r="GN80" s="51">
        <f t="shared" si="57"/>
        <v>0.31883715585879385</v>
      </c>
      <c r="GQ80" s="51">
        <f t="shared" si="58"/>
        <v>0</v>
      </c>
      <c r="GR80" s="51">
        <f t="shared" si="59"/>
        <v>0</v>
      </c>
      <c r="GU80" s="51">
        <f t="shared" si="60"/>
        <v>0</v>
      </c>
      <c r="GV80" s="51">
        <f t="shared" si="61"/>
        <v>0</v>
      </c>
      <c r="GY80" s="51">
        <f t="shared" si="64"/>
        <v>0.5</v>
      </c>
      <c r="GZ80" s="51">
        <f t="shared" si="65"/>
        <v>8.450000000000002E-2</v>
      </c>
    </row>
    <row r="81" spans="2:208">
      <c r="B81" s="9"/>
      <c r="C81" s="10"/>
      <c r="D81" s="10"/>
      <c r="E81" s="10"/>
      <c r="F81" s="11"/>
      <c r="G81" s="55"/>
      <c r="H81" s="37"/>
      <c r="I81" s="37"/>
      <c r="J81" s="37"/>
      <c r="K81" s="37"/>
      <c r="L81" s="37"/>
      <c r="M81" s="37"/>
      <c r="N81" s="37"/>
      <c r="O81" s="37"/>
      <c r="P81" s="37"/>
      <c r="Q81" s="37"/>
      <c r="R81" s="37"/>
      <c r="S81" s="37"/>
      <c r="T81" s="37"/>
      <c r="U81" s="41"/>
      <c r="V81" s="41"/>
      <c r="W81" s="41"/>
      <c r="X81" s="41"/>
      <c r="Y81" s="41"/>
      <c r="Z81" s="41"/>
      <c r="AA81" s="41"/>
      <c r="AB81" s="41"/>
      <c r="AC81" s="41"/>
      <c r="AD81" s="41"/>
      <c r="AE81" s="36"/>
      <c r="AF81" s="42"/>
      <c r="AG81" s="41"/>
      <c r="AH81" s="41"/>
      <c r="AI81" s="41"/>
      <c r="AJ81" s="43"/>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33"/>
      <c r="EP81" s="25"/>
      <c r="EQ81" s="25"/>
      <c r="FF81" s="29">
        <v>77</v>
      </c>
      <c r="FG81" s="29">
        <f t="shared" si="48"/>
        <v>4.8380526865282816</v>
      </c>
      <c r="FH81" s="29">
        <f t="shared" si="50"/>
        <v>2.3655896056566372E-3</v>
      </c>
      <c r="FI81" s="29">
        <f t="shared" si="51"/>
        <v>0.33759997006929127</v>
      </c>
      <c r="FJ81" s="29"/>
      <c r="FL81" s="29">
        <f t="shared" si="52"/>
        <v>0</v>
      </c>
      <c r="FM81" s="29">
        <f t="shared" si="53"/>
        <v>0</v>
      </c>
      <c r="FP81" s="29">
        <f t="shared" si="54"/>
        <v>0</v>
      </c>
      <c r="FQ81" s="29">
        <f t="shared" si="55"/>
        <v>0</v>
      </c>
      <c r="FT81" s="29">
        <f t="shared" si="62"/>
        <v>0.5</v>
      </c>
      <c r="FU81" s="29">
        <f t="shared" si="63"/>
        <v>8.450000000000002E-2</v>
      </c>
      <c r="GK81" s="51">
        <v>77</v>
      </c>
      <c r="GL81" s="51">
        <f t="shared" si="49"/>
        <v>4.8380526865282816</v>
      </c>
      <c r="GM81" s="51">
        <f t="shared" si="56"/>
        <v>2.3655896056566372E-3</v>
      </c>
      <c r="GN81" s="51">
        <f t="shared" si="57"/>
        <v>0.33759997006929127</v>
      </c>
      <c r="GQ81" s="51">
        <f t="shared" si="58"/>
        <v>0</v>
      </c>
      <c r="GR81" s="51">
        <f t="shared" si="59"/>
        <v>0</v>
      </c>
      <c r="GU81" s="51">
        <f t="shared" si="60"/>
        <v>0</v>
      </c>
      <c r="GV81" s="51">
        <f t="shared" si="61"/>
        <v>0</v>
      </c>
      <c r="GY81" s="51">
        <f t="shared" si="64"/>
        <v>0.5</v>
      </c>
      <c r="GZ81" s="51">
        <f t="shared" si="65"/>
        <v>8.450000000000002E-2</v>
      </c>
    </row>
    <row r="82" spans="2:208">
      <c r="B82" s="9"/>
      <c r="C82" s="10"/>
      <c r="D82" s="10"/>
      <c r="E82" s="10"/>
      <c r="F82" s="11"/>
      <c r="G82" s="55"/>
      <c r="H82" s="37"/>
      <c r="I82" s="37"/>
      <c r="J82" s="37"/>
      <c r="K82" s="37"/>
      <c r="L82" s="37"/>
      <c r="M82" s="37"/>
      <c r="N82" s="37"/>
      <c r="O82" s="37"/>
      <c r="P82" s="37"/>
      <c r="Q82" s="37"/>
      <c r="R82" s="37"/>
      <c r="S82" s="37"/>
      <c r="T82" s="37"/>
      <c r="U82" s="41"/>
      <c r="V82" s="41"/>
      <c r="W82" s="41"/>
      <c r="X82" s="41"/>
      <c r="Y82" s="41"/>
      <c r="Z82" s="41"/>
      <c r="AA82" s="41"/>
      <c r="AB82" s="41"/>
      <c r="AC82" s="41"/>
      <c r="AD82" s="41"/>
      <c r="AE82" s="36"/>
      <c r="AF82" s="42"/>
      <c r="AG82" s="41"/>
      <c r="AH82" s="41"/>
      <c r="AI82" s="41"/>
      <c r="AJ82" s="43"/>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33"/>
      <c r="CI82" s="53" t="s">
        <v>117</v>
      </c>
      <c r="CJ82" s="29">
        <f ca="1">MIN(P113,VLOOKUP(0,CK83:CL182,2,FALSE))</f>
        <v>3</v>
      </c>
      <c r="CO82" s="53" t="s">
        <v>118</v>
      </c>
      <c r="CP82" s="29">
        <f ca="1">MIN(P113-CJ82,VLOOKUP(0,CQ83:CR182,2,FALSE))</f>
        <v>6</v>
      </c>
      <c r="CU82" s="53" t="s">
        <v>119</v>
      </c>
      <c r="CV82" s="29">
        <f ca="1">MIN(P113-CJ82-CP82,VLOOKUP(0,CW83:CX182,2,FALSE))</f>
        <v>10</v>
      </c>
      <c r="DA82" s="53" t="s">
        <v>120</v>
      </c>
      <c r="DB82" s="29">
        <f ca="1">MIN(P113-CJ82-CP82-CV82,VLOOKUP(0,DC83:DD182,2,FALSE))</f>
        <v>21</v>
      </c>
      <c r="DF82" s="51"/>
      <c r="DG82" s="59" t="s">
        <v>121</v>
      </c>
      <c r="DH82" s="51">
        <f ca="1">MIN(P113-CJ82-CP82-CV82-DB82,VLOOKUP(0,DI83:DJ182,2,FALSE))</f>
        <v>31</v>
      </c>
      <c r="DI82" s="51"/>
      <c r="DJ82" s="51"/>
      <c r="DL82" s="51"/>
      <c r="DM82" s="59" t="s">
        <v>122</v>
      </c>
      <c r="DN82" s="51">
        <f ca="1">IF(CJ73="N/A",0,MIN(P113-CJ82-CP82-CV82-DB82-DH82,VLOOKUP(0,DO83:DP182,2,FALSE)))</f>
        <v>29</v>
      </c>
      <c r="DO82" s="51"/>
      <c r="DP82" s="51"/>
      <c r="EP82" s="25"/>
      <c r="EQ82" s="25"/>
      <c r="FF82" s="29">
        <v>78</v>
      </c>
      <c r="FG82" s="29">
        <f t="shared" si="48"/>
        <v>4.9008845396000771</v>
      </c>
      <c r="FH82" s="29">
        <f t="shared" si="50"/>
        <v>5.3138247813933615E-3</v>
      </c>
      <c r="FI82" s="29">
        <f t="shared" si="51"/>
        <v>0.35621439437571728</v>
      </c>
      <c r="FJ82" s="29"/>
      <c r="FL82" s="29">
        <f t="shared" si="52"/>
        <v>0</v>
      </c>
      <c r="FM82" s="29">
        <f t="shared" si="53"/>
        <v>0</v>
      </c>
      <c r="FP82" s="29">
        <f t="shared" si="54"/>
        <v>0</v>
      </c>
      <c r="FQ82" s="29">
        <f t="shared" si="55"/>
        <v>0</v>
      </c>
      <c r="FT82" s="29">
        <f t="shared" si="62"/>
        <v>0.5</v>
      </c>
      <c r="FU82" s="29">
        <f t="shared" si="63"/>
        <v>8.450000000000002E-2</v>
      </c>
      <c r="GK82" s="51">
        <v>78</v>
      </c>
      <c r="GL82" s="51">
        <f t="shared" si="49"/>
        <v>4.9008845396000771</v>
      </c>
      <c r="GM82" s="51">
        <f t="shared" si="56"/>
        <v>5.3138247813933615E-3</v>
      </c>
      <c r="GN82" s="51">
        <f t="shared" si="57"/>
        <v>0.35621439437571728</v>
      </c>
      <c r="GQ82" s="51">
        <f t="shared" si="58"/>
        <v>0</v>
      </c>
      <c r="GR82" s="51">
        <f t="shared" si="59"/>
        <v>0</v>
      </c>
      <c r="GU82" s="51">
        <f t="shared" si="60"/>
        <v>0</v>
      </c>
      <c r="GV82" s="51">
        <f t="shared" si="61"/>
        <v>0</v>
      </c>
      <c r="GY82" s="51">
        <f t="shared" si="64"/>
        <v>0.5</v>
      </c>
      <c r="GZ82" s="51">
        <f t="shared" si="65"/>
        <v>8.450000000000002E-2</v>
      </c>
    </row>
    <row r="83" spans="2:208">
      <c r="B83" s="9"/>
      <c r="C83" s="10"/>
      <c r="D83" s="10"/>
      <c r="E83" s="10"/>
      <c r="F83" s="11"/>
      <c r="G83" s="39"/>
      <c r="H83" s="37"/>
      <c r="I83" s="37"/>
      <c r="J83" s="37"/>
      <c r="K83" s="37"/>
      <c r="L83" s="37"/>
      <c r="M83" s="37"/>
      <c r="N83" s="37"/>
      <c r="O83" s="37"/>
      <c r="P83" s="37"/>
      <c r="Q83" s="37"/>
      <c r="R83" s="37"/>
      <c r="S83" s="37"/>
      <c r="T83" s="37"/>
      <c r="U83" s="41"/>
      <c r="V83" s="41"/>
      <c r="W83" s="41"/>
      <c r="X83" s="41"/>
      <c r="Y83" s="41"/>
      <c r="Z83" s="41"/>
      <c r="AA83" s="41"/>
      <c r="AB83" s="41"/>
      <c r="AC83" s="41"/>
      <c r="AD83" s="41"/>
      <c r="AE83" s="34"/>
      <c r="AF83" s="42"/>
      <c r="AG83" s="41"/>
      <c r="AH83" s="41"/>
      <c r="AI83" s="41"/>
      <c r="AJ83" s="43"/>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v>0</v>
      </c>
      <c r="CC83" s="66">
        <f>W76</f>
        <v>611.36308669874609</v>
      </c>
      <c r="CD83" s="54"/>
      <c r="CE83" s="54"/>
      <c r="CF83" s="54"/>
      <c r="CG83" s="33"/>
      <c r="CH83" s="33">
        <v>1</v>
      </c>
      <c r="CI83" s="33">
        <f t="shared" ref="CI83:CI114" ca="1" si="66">$CJ$27*CH83</f>
        <v>4.4377083333333331</v>
      </c>
      <c r="CJ83" s="33">
        <f t="shared" ref="CJ83:CJ114" si="67">(2.66*$CJ$31^1.25)*((6.74*($CJ$22/100)^0.7)+0.4+(CH83/$CJ$30)*$CJ$23)*1000</f>
        <v>15.111205849385509</v>
      </c>
      <c r="CK83" s="33">
        <f ca="1">MAX(0,CJ83-CI83)</f>
        <v>10.673497516052176</v>
      </c>
      <c r="CL83" s="29">
        <v>0</v>
      </c>
      <c r="CN83" s="33">
        <v>1</v>
      </c>
      <c r="CO83" s="33">
        <f ca="1">$CJ$27*(CN83+$CJ$82)</f>
        <v>17.750833333333333</v>
      </c>
      <c r="CP83" s="33">
        <f>(2.66*$CJ$39^1.25)*((6.74*($CJ$22/100)^0.7)+0.4+(CN83/$CJ$38)*$CJ$23)*1000</f>
        <v>41.803711055278953</v>
      </c>
      <c r="CQ83" s="33">
        <f ca="1">MAX(0,CP83-CO83)</f>
        <v>24.05287772194562</v>
      </c>
      <c r="CR83" s="29">
        <v>0</v>
      </c>
      <c r="CT83" s="33">
        <v>1</v>
      </c>
      <c r="CU83" s="33">
        <f ca="1">$CJ$27*(CT83+$CP$82+$CJ$82)</f>
        <v>44.377083333333331</v>
      </c>
      <c r="CV83" s="33">
        <f>(2.66*$CJ$48^1.25)*((6.74*($CJ$22/100)^0.7)+0.4+(CT83/$CJ$47)*$CJ$23)*1000</f>
        <v>85.595459901170742</v>
      </c>
      <c r="CW83" s="33">
        <f ca="1">MAX(0,CV83-CU83)</f>
        <v>41.21837656783741</v>
      </c>
      <c r="CX83" s="29">
        <v>0</v>
      </c>
      <c r="CZ83" s="33">
        <v>1</v>
      </c>
      <c r="DA83" s="33">
        <f ca="1">$CJ$27*(CZ83+$CP$82+$CV$82+$CJ$82)</f>
        <v>88.754166666666663</v>
      </c>
      <c r="DB83" s="33">
        <f>(2.66*$CJ$57^1.25)*((6.74*($CJ$22/100)^0.7)+0.4+(CZ83/$CJ$56)*$CJ$23)*1000</f>
        <v>175.96060577910339</v>
      </c>
      <c r="DC83" s="33">
        <f ca="1">MAX(0,DB83-DA83)</f>
        <v>87.206439112436726</v>
      </c>
      <c r="DD83" s="29">
        <v>0</v>
      </c>
      <c r="DF83" s="60">
        <v>1</v>
      </c>
      <c r="DG83" s="60">
        <f ca="1">$CJ$27*(DF83+$CP$82+$CV$82+$CJ$82+$DB$82)</f>
        <v>181.94604166666664</v>
      </c>
      <c r="DH83" s="60">
        <f>(2.66*$CJ$66^1.25)*((6.74*($CJ$22/100)^0.7)+0.4+(DF83/$CJ$65)*$CJ$23)*1000</f>
        <v>308.0336483056937</v>
      </c>
      <c r="DI83" s="60">
        <f ca="1">MAX(0,DH83-DG83)</f>
        <v>126.08760663902706</v>
      </c>
      <c r="DJ83" s="51">
        <v>0</v>
      </c>
      <c r="DL83" s="60">
        <v>1</v>
      </c>
      <c r="DM83" s="60">
        <f ca="1">$CJ$27*(DL83+$CP$82+$CV$82+$CJ$82+$DB$82+$DH$82)</f>
        <v>319.51499999999999</v>
      </c>
      <c r="DN83" s="60">
        <f>(2.66*$CJ$75^1.25)*((6.74*($CJ$22/100)^0.7)+0.4+(DL83/$CJ$74)*$CJ$23)*1000</f>
        <v>664.47056305672959</v>
      </c>
      <c r="DO83" s="60">
        <f ca="1">MAX(0,DN83-DM83)</f>
        <v>344.9555630567296</v>
      </c>
      <c r="DP83" s="51">
        <v>0</v>
      </c>
      <c r="EG83" s="26" t="s">
        <v>36</v>
      </c>
      <c r="EH83" s="26" t="s">
        <v>16</v>
      </c>
      <c r="EI83" s="26" t="s">
        <v>37</v>
      </c>
      <c r="EJ83" s="26"/>
      <c r="EK83" s="26"/>
      <c r="EL83" s="26"/>
      <c r="EM83" s="26"/>
      <c r="EN83" s="26"/>
      <c r="EO83" s="26"/>
      <c r="EP83" s="26"/>
      <c r="EQ83" s="26"/>
      <c r="FF83" s="29">
        <v>79</v>
      </c>
      <c r="FG83" s="29">
        <f t="shared" si="48"/>
        <v>4.9637163926718735</v>
      </c>
      <c r="FH83" s="29">
        <f t="shared" si="50"/>
        <v>9.4250516614106661E-3</v>
      </c>
      <c r="FI83" s="29">
        <f t="shared" si="51"/>
        <v>0.37460696614945643</v>
      </c>
      <c r="FJ83" s="29"/>
      <c r="FL83" s="29">
        <f t="shared" si="52"/>
        <v>0</v>
      </c>
      <c r="FM83" s="29">
        <f t="shared" si="53"/>
        <v>0</v>
      </c>
      <c r="FP83" s="29">
        <f t="shared" si="54"/>
        <v>0</v>
      </c>
      <c r="FQ83" s="29">
        <f t="shared" si="55"/>
        <v>0</v>
      </c>
      <c r="FT83" s="29">
        <f t="shared" si="62"/>
        <v>0.5</v>
      </c>
      <c r="FU83" s="29">
        <f t="shared" si="63"/>
        <v>8.450000000000002E-2</v>
      </c>
      <c r="GK83" s="51">
        <v>79</v>
      </c>
      <c r="GL83" s="51">
        <f t="shared" si="49"/>
        <v>4.9637163926718735</v>
      </c>
      <c r="GM83" s="51">
        <f t="shared" si="56"/>
        <v>9.4250516614106661E-3</v>
      </c>
      <c r="GN83" s="51">
        <f t="shared" si="57"/>
        <v>0.37460696614945643</v>
      </c>
      <c r="GQ83" s="51">
        <f t="shared" si="58"/>
        <v>0</v>
      </c>
      <c r="GR83" s="51">
        <f t="shared" si="59"/>
        <v>0</v>
      </c>
      <c r="GU83" s="51">
        <f t="shared" si="60"/>
        <v>0</v>
      </c>
      <c r="GV83" s="51">
        <f t="shared" si="61"/>
        <v>0</v>
      </c>
      <c r="GY83" s="51">
        <f t="shared" si="64"/>
        <v>0.5</v>
      </c>
      <c r="GZ83" s="51">
        <f t="shared" si="65"/>
        <v>8.450000000000002E-2</v>
      </c>
    </row>
    <row r="84" spans="2:208">
      <c r="B84" s="9"/>
      <c r="C84" s="10"/>
      <c r="D84" s="10"/>
      <c r="E84" s="10"/>
      <c r="F84" s="11"/>
      <c r="G84" s="39"/>
      <c r="H84" s="37"/>
      <c r="I84" s="37"/>
      <c r="J84" s="37"/>
      <c r="K84" s="37"/>
      <c r="L84" s="37"/>
      <c r="M84" s="37"/>
      <c r="N84" s="37"/>
      <c r="O84" s="37"/>
      <c r="P84" s="37"/>
      <c r="Q84" s="37"/>
      <c r="R84" s="37"/>
      <c r="S84" s="37"/>
      <c r="T84" s="37"/>
      <c r="U84" s="41"/>
      <c r="V84" s="41"/>
      <c r="W84" s="41"/>
      <c r="X84" s="41"/>
      <c r="Y84" s="41"/>
      <c r="Z84" s="41"/>
      <c r="AA84" s="41"/>
      <c r="AB84" s="41"/>
      <c r="AC84" s="41"/>
      <c r="AD84" s="41"/>
      <c r="AE84" s="34"/>
      <c r="AF84" s="42"/>
      <c r="AG84" s="41"/>
      <c r="AH84" s="41"/>
      <c r="AI84" s="41"/>
      <c r="AJ84" s="43"/>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f>P59</f>
        <v>1</v>
      </c>
      <c r="CC84" s="66">
        <f>CC83</f>
        <v>611.36308669874609</v>
      </c>
      <c r="CD84" s="54"/>
      <c r="CE84" s="54"/>
      <c r="CF84" s="54"/>
      <c r="CG84" s="33"/>
      <c r="CH84" s="33">
        <v>2</v>
      </c>
      <c r="CI84" s="33">
        <f t="shared" ca="1" si="66"/>
        <v>8.8754166666666663</v>
      </c>
      <c r="CJ84" s="33">
        <f t="shared" si="67"/>
        <v>15.1621617287235</v>
      </c>
      <c r="CK84" s="33">
        <f t="shared" ref="CK84:CK147" ca="1" si="68">MAX(0,CJ84-CI84)</f>
        <v>6.2867450620568341</v>
      </c>
      <c r="CL84" s="29">
        <v>1</v>
      </c>
      <c r="CN84" s="33">
        <v>2</v>
      </c>
      <c r="CO84" s="33">
        <f t="shared" ref="CO84:CO147" ca="1" si="69">$CJ$27*(CN84+$CJ$82)</f>
        <v>22.188541666666666</v>
      </c>
      <c r="CP84" s="33">
        <f t="shared" ref="CP84:CP147" si="70">(2.66*$CJ$39^1.25)*((6.74*($CJ$22/100)^0.7)+0.4+(CN84/$CJ$38)*$CJ$23)*1000</f>
        <v>41.896675660515093</v>
      </c>
      <c r="CQ84" s="33">
        <f t="shared" ref="CQ84:CQ147" ca="1" si="71">MAX(0,CP84-CO84)</f>
        <v>19.708133993848428</v>
      </c>
      <c r="CR84" s="29">
        <v>1</v>
      </c>
      <c r="CT84" s="33">
        <v>2</v>
      </c>
      <c r="CU84" s="33">
        <f t="shared" ref="CU84:CU147" ca="1" si="72">$CJ$27*(CT84+$CP$82+$CJ$82)</f>
        <v>48.814791666666665</v>
      </c>
      <c r="CV84" s="33">
        <f t="shared" ref="CV84:CV147" si="73">(2.66*$CJ$48^1.25)*((6.74*($CJ$22/100)^0.7)+0.4+(CT84/$CJ$47)*$CJ$23)*1000</f>
        <v>85.73745820867552</v>
      </c>
      <c r="CW84" s="33">
        <f t="shared" ref="CW84:CW147" ca="1" si="74">MAX(0,CV84-CU84)</f>
        <v>36.922666542008855</v>
      </c>
      <c r="CX84" s="29">
        <v>1</v>
      </c>
      <c r="CZ84" s="33">
        <v>2</v>
      </c>
      <c r="DA84" s="33">
        <f t="shared" ref="DA84:DA147" ca="1" si="75">$CJ$27*(CZ84+$CP$82+$CV$82+$CJ$82)</f>
        <v>93.191874999999996</v>
      </c>
      <c r="DB84" s="33">
        <f t="shared" ref="DB84:DB147" si="76">(2.66*$CJ$57^1.25)*((6.74*($CJ$22/100)^0.7)+0.4+(CZ84/$CJ$56)*$CJ$23)*1000</f>
        <v>176.17898328523285</v>
      </c>
      <c r="DC84" s="33">
        <f t="shared" ref="DC84:DC147" ca="1" si="77">MAX(0,DB84-DA84)</f>
        <v>82.98710828523285</v>
      </c>
      <c r="DD84" s="29">
        <v>1</v>
      </c>
      <c r="DF84" s="60">
        <v>2</v>
      </c>
      <c r="DG84" s="60">
        <f t="shared" ref="DG84:DG147" ca="1" si="78">$CJ$27*(DF84+$CP$82+$CV$82+$CJ$82+$DB$82)</f>
        <v>186.38374999999999</v>
      </c>
      <c r="DH84" s="60">
        <f t="shared" ref="DH84:DH147" si="79">(2.66*$CJ$66^1.25)*((6.74*($CJ$22/100)^0.7)+0.4+(DF84/$CJ$65)*$CJ$23)*1000</f>
        <v>308.33794049206438</v>
      </c>
      <c r="DI84" s="60">
        <f t="shared" ref="DI84:DI147" ca="1" si="80">MAX(0,DH84-DG84)</f>
        <v>121.95419049206438</v>
      </c>
      <c r="DJ84" s="51">
        <v>1</v>
      </c>
      <c r="DL84" s="60">
        <v>2</v>
      </c>
      <c r="DM84" s="60">
        <f t="shared" ref="DM84:DM147" ca="1" si="81">$CJ$27*(DL84+$CP$82+$CV$82+$CJ$82+$DB$82+$DH$82)</f>
        <v>323.95270833333331</v>
      </c>
      <c r="DN84" s="60">
        <f t="shared" ref="DN84:DN147" si="82">(2.66*$CJ$75^1.25)*((6.74*($CJ$22/100)^0.7)+0.4+(DL84/$CJ$74)*$CJ$23)*1000</f>
        <v>664.91936166221569</v>
      </c>
      <c r="DO84" s="60">
        <f t="shared" ref="DO84:DO147" ca="1" si="83">MAX(0,DN84-DM84)</f>
        <v>340.96665332888239</v>
      </c>
      <c r="DP84" s="51">
        <v>1</v>
      </c>
      <c r="EG84" s="26"/>
      <c r="EH84" s="26"/>
      <c r="EI84" s="26">
        <v>5</v>
      </c>
      <c r="EJ84" s="26">
        <v>10</v>
      </c>
      <c r="EK84" s="26">
        <v>15</v>
      </c>
      <c r="EL84" s="26">
        <v>30</v>
      </c>
      <c r="EM84" s="26">
        <v>45</v>
      </c>
      <c r="EN84" s="26">
        <v>60</v>
      </c>
      <c r="EO84" s="26">
        <v>120</v>
      </c>
      <c r="EP84" s="26">
        <v>240</v>
      </c>
      <c r="EQ84" s="26">
        <v>480</v>
      </c>
      <c r="FF84" s="29">
        <v>80</v>
      </c>
      <c r="FG84" s="29">
        <f t="shared" si="48"/>
        <v>5.026548245743669</v>
      </c>
      <c r="FH84" s="29">
        <f t="shared" si="50"/>
        <v>1.4683045111453907E-2</v>
      </c>
      <c r="FI84" s="29">
        <f t="shared" si="51"/>
        <v>0.39270509831248412</v>
      </c>
      <c r="FJ84" s="29"/>
      <c r="FL84" s="29">
        <f t="shared" si="52"/>
        <v>0</v>
      </c>
      <c r="FM84" s="29">
        <f t="shared" si="53"/>
        <v>0</v>
      </c>
      <c r="FP84" s="29">
        <f t="shared" si="54"/>
        <v>0</v>
      </c>
      <c r="FQ84" s="29">
        <f t="shared" si="55"/>
        <v>0</v>
      </c>
      <c r="FT84" s="29">
        <f t="shared" si="62"/>
        <v>0.5</v>
      </c>
      <c r="FU84" s="29">
        <f t="shared" si="63"/>
        <v>8.450000000000002E-2</v>
      </c>
      <c r="GK84" s="51">
        <v>80</v>
      </c>
      <c r="GL84" s="51">
        <f t="shared" si="49"/>
        <v>5.026548245743669</v>
      </c>
      <c r="GM84" s="51">
        <f t="shared" si="56"/>
        <v>1.4683045111453907E-2</v>
      </c>
      <c r="GN84" s="51">
        <f t="shared" si="57"/>
        <v>0.39270509831248412</v>
      </c>
      <c r="GQ84" s="51">
        <f t="shared" si="58"/>
        <v>0</v>
      </c>
      <c r="GR84" s="51">
        <f t="shared" si="59"/>
        <v>0</v>
      </c>
      <c r="GU84" s="51">
        <f t="shared" si="60"/>
        <v>0</v>
      </c>
      <c r="GV84" s="51">
        <f t="shared" si="61"/>
        <v>0</v>
      </c>
      <c r="GY84" s="51">
        <f t="shared" si="64"/>
        <v>0.5</v>
      </c>
      <c r="GZ84" s="51">
        <f t="shared" si="65"/>
        <v>8.450000000000002E-2</v>
      </c>
    </row>
    <row r="85" spans="2:208">
      <c r="B85" s="9"/>
      <c r="C85" s="10"/>
      <c r="D85" s="10"/>
      <c r="E85" s="10"/>
      <c r="F85" s="11"/>
      <c r="G85" s="39"/>
      <c r="H85" s="37"/>
      <c r="I85" s="37"/>
      <c r="J85" s="37"/>
      <c r="K85" s="37"/>
      <c r="L85" s="37"/>
      <c r="M85" s="37"/>
      <c r="N85" s="37"/>
      <c r="O85" s="37"/>
      <c r="P85" s="37"/>
      <c r="Q85" s="37"/>
      <c r="R85" s="37"/>
      <c r="S85" s="37"/>
      <c r="T85" s="37"/>
      <c r="U85" s="41"/>
      <c r="V85" s="41"/>
      <c r="W85" s="41"/>
      <c r="X85" s="41"/>
      <c r="Y85" s="41"/>
      <c r="Z85" s="41"/>
      <c r="AA85" s="41"/>
      <c r="AB85" s="41"/>
      <c r="AC85" s="41"/>
      <c r="AD85" s="41"/>
      <c r="AE85" s="34"/>
      <c r="AF85" s="42"/>
      <c r="AG85" s="41"/>
      <c r="AH85" s="41"/>
      <c r="AI85" s="41"/>
      <c r="AJ85" s="43"/>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f>CB84</f>
        <v>1</v>
      </c>
      <c r="CC85" s="54">
        <v>0</v>
      </c>
      <c r="CD85" s="54"/>
      <c r="CE85" s="54"/>
      <c r="CF85" s="54"/>
      <c r="CG85" s="33"/>
      <c r="CH85" s="33">
        <v>3</v>
      </c>
      <c r="CI85" s="33">
        <f t="shared" ca="1" si="66"/>
        <v>13.313124999999999</v>
      </c>
      <c r="CJ85" s="33">
        <f t="shared" si="67"/>
        <v>15.213117608061493</v>
      </c>
      <c r="CK85" s="33">
        <f t="shared" ca="1" si="68"/>
        <v>1.8999926080614937</v>
      </c>
      <c r="CL85" s="29">
        <v>2</v>
      </c>
      <c r="CN85" s="33">
        <v>3</v>
      </c>
      <c r="CO85" s="33">
        <f t="shared" ca="1" si="69"/>
        <v>26.626249999999999</v>
      </c>
      <c r="CP85" s="33">
        <f t="shared" si="70"/>
        <v>41.989640265751227</v>
      </c>
      <c r="CQ85" s="33">
        <f t="shared" ca="1" si="71"/>
        <v>15.363390265751228</v>
      </c>
      <c r="CR85" s="29">
        <v>2</v>
      </c>
      <c r="CT85" s="33">
        <v>3</v>
      </c>
      <c r="CU85" s="33">
        <f t="shared" ca="1" si="72"/>
        <v>53.252499999999998</v>
      </c>
      <c r="CV85" s="33">
        <f t="shared" si="73"/>
        <v>85.879456516180284</v>
      </c>
      <c r="CW85" s="33">
        <f t="shared" ca="1" si="74"/>
        <v>32.626956516180286</v>
      </c>
      <c r="CX85" s="29">
        <v>2</v>
      </c>
      <c r="CZ85" s="33">
        <v>3</v>
      </c>
      <c r="DA85" s="33">
        <f t="shared" ca="1" si="75"/>
        <v>97.629583333333329</v>
      </c>
      <c r="DB85" s="33">
        <f t="shared" si="76"/>
        <v>176.39736079136227</v>
      </c>
      <c r="DC85" s="33">
        <f t="shared" ca="1" si="77"/>
        <v>78.767777458028945</v>
      </c>
      <c r="DD85" s="29">
        <v>2</v>
      </c>
      <c r="DF85" s="60">
        <v>3</v>
      </c>
      <c r="DG85" s="60">
        <f t="shared" ca="1" si="78"/>
        <v>190.82145833333334</v>
      </c>
      <c r="DH85" s="60">
        <f t="shared" si="79"/>
        <v>308.64223267843499</v>
      </c>
      <c r="DI85" s="60">
        <f t="shared" ca="1" si="80"/>
        <v>117.82077434510165</v>
      </c>
      <c r="DJ85" s="51">
        <v>2</v>
      </c>
      <c r="DL85" s="60">
        <v>3</v>
      </c>
      <c r="DM85" s="60">
        <f t="shared" ca="1" si="81"/>
        <v>328.39041666666662</v>
      </c>
      <c r="DN85" s="60">
        <f t="shared" si="82"/>
        <v>665.36816026770157</v>
      </c>
      <c r="DO85" s="60">
        <f t="shared" ca="1" si="83"/>
        <v>336.97774360103494</v>
      </c>
      <c r="DP85" s="51">
        <v>2</v>
      </c>
      <c r="EG85" s="26" t="s">
        <v>38</v>
      </c>
      <c r="EH85" s="26">
        <v>1</v>
      </c>
      <c r="EI85" s="26">
        <v>40.200000000000003</v>
      </c>
      <c r="EJ85" s="26">
        <v>27.8</v>
      </c>
      <c r="EK85" s="26">
        <v>21.7</v>
      </c>
      <c r="EL85" s="26">
        <v>13.8</v>
      </c>
      <c r="EM85" s="26">
        <v>10.5</v>
      </c>
      <c r="EN85" s="26">
        <v>8.6</v>
      </c>
      <c r="EO85" s="26">
        <v>5.3</v>
      </c>
      <c r="EP85" s="26">
        <v>3.2</v>
      </c>
      <c r="EQ85" s="26">
        <v>2</v>
      </c>
      <c r="FF85" s="29">
        <v>81</v>
      </c>
      <c r="FG85" s="29">
        <f t="shared" si="48"/>
        <v>5.0893800988154654</v>
      </c>
      <c r="FH85" s="29">
        <f t="shared" si="50"/>
        <v>2.1067054233524618E-2</v>
      </c>
      <c r="FI85" s="29">
        <f t="shared" si="51"/>
        <v>0.41043736580540346</v>
      </c>
      <c r="FJ85" s="29"/>
      <c r="FL85" s="29">
        <f t="shared" si="52"/>
        <v>0</v>
      </c>
      <c r="FM85" s="29">
        <f t="shared" si="53"/>
        <v>0</v>
      </c>
      <c r="FP85" s="29">
        <f t="shared" si="54"/>
        <v>0</v>
      </c>
      <c r="FQ85" s="29">
        <f t="shared" si="55"/>
        <v>0</v>
      </c>
      <c r="FT85" s="29">
        <f t="shared" si="62"/>
        <v>0.5</v>
      </c>
      <c r="FU85" s="29">
        <f t="shared" si="63"/>
        <v>8.450000000000002E-2</v>
      </c>
      <c r="GK85" s="51">
        <v>81</v>
      </c>
      <c r="GL85" s="51">
        <f t="shared" si="49"/>
        <v>5.0893800988154654</v>
      </c>
      <c r="GM85" s="51">
        <f t="shared" si="56"/>
        <v>2.1067054233524618E-2</v>
      </c>
      <c r="GN85" s="51">
        <f t="shared" si="57"/>
        <v>0.41043736580540346</v>
      </c>
      <c r="GQ85" s="51">
        <f t="shared" si="58"/>
        <v>0</v>
      </c>
      <c r="GR85" s="51">
        <f t="shared" si="59"/>
        <v>0</v>
      </c>
      <c r="GU85" s="51">
        <f t="shared" si="60"/>
        <v>0</v>
      </c>
      <c r="GV85" s="51">
        <f t="shared" si="61"/>
        <v>0</v>
      </c>
      <c r="GY85" s="51">
        <f t="shared" si="64"/>
        <v>0.5</v>
      </c>
      <c r="GZ85" s="51">
        <f t="shared" si="65"/>
        <v>8.450000000000002E-2</v>
      </c>
    </row>
    <row r="86" spans="2:208">
      <c r="B86" s="9"/>
      <c r="C86" s="10"/>
      <c r="D86" s="10"/>
      <c r="E86" s="10"/>
      <c r="F86" s="11"/>
      <c r="G86" s="39"/>
      <c r="H86" s="37"/>
      <c r="I86" s="37"/>
      <c r="J86" s="37"/>
      <c r="K86" s="37"/>
      <c r="L86" s="37"/>
      <c r="M86" s="37"/>
      <c r="N86" s="37"/>
      <c r="O86" s="37"/>
      <c r="P86" s="37"/>
      <c r="Q86" s="37"/>
      <c r="R86" s="37"/>
      <c r="S86" s="37"/>
      <c r="T86" s="37"/>
      <c r="U86" s="41"/>
      <c r="V86" s="41"/>
      <c r="W86" s="41"/>
      <c r="X86" s="41"/>
      <c r="Y86" s="41"/>
      <c r="Z86" s="41"/>
      <c r="AA86" s="41"/>
      <c r="AB86" s="41"/>
      <c r="AC86" s="41"/>
      <c r="AD86" s="41"/>
      <c r="AE86" s="34"/>
      <c r="AF86" s="42"/>
      <c r="AG86" s="41"/>
      <c r="AH86" s="41"/>
      <c r="AI86" s="41"/>
      <c r="AJ86" s="43"/>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33"/>
      <c r="CH86" s="33">
        <v>4</v>
      </c>
      <c r="CI86" s="33">
        <f t="shared" ca="1" si="66"/>
        <v>17.750833333333333</v>
      </c>
      <c r="CJ86" s="33">
        <f t="shared" si="67"/>
        <v>15.264073487399484</v>
      </c>
      <c r="CK86" s="33">
        <f t="shared" ca="1" si="68"/>
        <v>0</v>
      </c>
      <c r="CL86" s="29">
        <v>3</v>
      </c>
      <c r="CN86" s="33">
        <v>4</v>
      </c>
      <c r="CO86" s="33">
        <f t="shared" ca="1" si="69"/>
        <v>31.063958333333332</v>
      </c>
      <c r="CP86" s="33">
        <f t="shared" si="70"/>
        <v>42.08260487098736</v>
      </c>
      <c r="CQ86" s="33">
        <f t="shared" ca="1" si="71"/>
        <v>11.018646537654028</v>
      </c>
      <c r="CR86" s="29">
        <v>3</v>
      </c>
      <c r="CT86" s="33">
        <v>4</v>
      </c>
      <c r="CU86" s="33">
        <f t="shared" ca="1" si="72"/>
        <v>57.690208333333331</v>
      </c>
      <c r="CV86" s="33">
        <f t="shared" si="73"/>
        <v>86.021454823685062</v>
      </c>
      <c r="CW86" s="33">
        <f t="shared" ca="1" si="74"/>
        <v>28.331246490351731</v>
      </c>
      <c r="CX86" s="29">
        <v>3</v>
      </c>
      <c r="CZ86" s="33">
        <v>4</v>
      </c>
      <c r="DA86" s="33">
        <f t="shared" ca="1" si="75"/>
        <v>102.06729166666666</v>
      </c>
      <c r="DB86" s="33">
        <f t="shared" si="76"/>
        <v>176.61573829749176</v>
      </c>
      <c r="DC86" s="33">
        <f t="shared" ca="1" si="77"/>
        <v>74.548446630825097</v>
      </c>
      <c r="DD86" s="29">
        <v>3</v>
      </c>
      <c r="DF86" s="60">
        <v>4</v>
      </c>
      <c r="DG86" s="60">
        <f t="shared" ca="1" si="78"/>
        <v>195.25916666666666</v>
      </c>
      <c r="DH86" s="60">
        <f t="shared" si="79"/>
        <v>308.94652486480561</v>
      </c>
      <c r="DI86" s="60">
        <f t="shared" ca="1" si="80"/>
        <v>113.68735819813895</v>
      </c>
      <c r="DJ86" s="51">
        <v>3</v>
      </c>
      <c r="DL86" s="60">
        <v>4</v>
      </c>
      <c r="DM86" s="60">
        <f t="shared" ca="1" si="81"/>
        <v>332.828125</v>
      </c>
      <c r="DN86" s="60">
        <f t="shared" si="82"/>
        <v>665.81695887318756</v>
      </c>
      <c r="DO86" s="60">
        <f t="shared" ca="1" si="83"/>
        <v>332.98883387318756</v>
      </c>
      <c r="DP86" s="51">
        <v>3</v>
      </c>
      <c r="EG86" s="26">
        <v>14</v>
      </c>
      <c r="EH86" s="26">
        <v>2</v>
      </c>
      <c r="EI86" s="26">
        <v>47.9</v>
      </c>
      <c r="EJ86" s="26">
        <v>34.5</v>
      </c>
      <c r="EK86" s="26">
        <v>27.5</v>
      </c>
      <c r="EL86" s="26">
        <v>17.8</v>
      </c>
      <c r="EM86" s="26">
        <v>13.5</v>
      </c>
      <c r="EN86" s="26">
        <v>11.1</v>
      </c>
      <c r="EO86" s="26">
        <v>6.8</v>
      </c>
      <c r="EP86" s="26">
        <v>4.0999999999999996</v>
      </c>
      <c r="EQ86" s="26">
        <v>2</v>
      </c>
      <c r="FF86" s="29">
        <v>82</v>
      </c>
      <c r="FG86" s="29">
        <f t="shared" si="48"/>
        <v>5.15221195188726</v>
      </c>
      <c r="FH86" s="29">
        <f t="shared" si="50"/>
        <v>2.8551884260194005E-2</v>
      </c>
      <c r="FI86" s="29">
        <f t="shared" si="51"/>
        <v>0.42773378746952151</v>
      </c>
      <c r="FJ86" s="29"/>
      <c r="FL86" s="29">
        <f t="shared" si="52"/>
        <v>0</v>
      </c>
      <c r="FM86" s="29">
        <f t="shared" si="53"/>
        <v>0</v>
      </c>
      <c r="FP86" s="29">
        <f t="shared" si="54"/>
        <v>0</v>
      </c>
      <c r="FQ86" s="29">
        <f t="shared" si="55"/>
        <v>0</v>
      </c>
      <c r="FT86" s="29">
        <f t="shared" si="62"/>
        <v>0.5</v>
      </c>
      <c r="FU86" s="29">
        <f t="shared" si="63"/>
        <v>8.450000000000002E-2</v>
      </c>
      <c r="GK86" s="51">
        <v>82</v>
      </c>
      <c r="GL86" s="51">
        <f t="shared" si="49"/>
        <v>5.15221195188726</v>
      </c>
      <c r="GM86" s="51">
        <f t="shared" si="56"/>
        <v>2.8551884260194005E-2</v>
      </c>
      <c r="GN86" s="51">
        <f t="shared" si="57"/>
        <v>0.42773378746952151</v>
      </c>
      <c r="GQ86" s="51">
        <f t="shared" si="58"/>
        <v>0</v>
      </c>
      <c r="GR86" s="51">
        <f t="shared" si="59"/>
        <v>0</v>
      </c>
      <c r="GU86" s="51">
        <f t="shared" si="60"/>
        <v>0</v>
      </c>
      <c r="GV86" s="51">
        <f t="shared" si="61"/>
        <v>0</v>
      </c>
      <c r="GY86" s="51">
        <f t="shared" si="64"/>
        <v>0.5</v>
      </c>
      <c r="GZ86" s="51">
        <f t="shared" si="65"/>
        <v>8.450000000000002E-2</v>
      </c>
    </row>
    <row r="87" spans="2:208">
      <c r="B87" s="9"/>
      <c r="C87" s="10"/>
      <c r="D87" s="10"/>
      <c r="E87" s="10"/>
      <c r="F87" s="11"/>
      <c r="G87" s="39"/>
      <c r="H87" s="37"/>
      <c r="I87" s="37"/>
      <c r="J87" s="37"/>
      <c r="K87" s="37"/>
      <c r="L87" s="37"/>
      <c r="M87" s="37"/>
      <c r="N87" s="37"/>
      <c r="O87" s="37"/>
      <c r="P87" s="37"/>
      <c r="Q87" s="37"/>
      <c r="R87" s="37"/>
      <c r="S87" s="37"/>
      <c r="T87" s="37"/>
      <c r="U87" s="41"/>
      <c r="V87" s="41"/>
      <c r="W87" s="41"/>
      <c r="X87" s="41"/>
      <c r="Y87" s="41"/>
      <c r="Z87" s="41"/>
      <c r="AA87" s="41"/>
      <c r="AB87" s="41"/>
      <c r="AC87" s="41"/>
      <c r="AD87" s="41"/>
      <c r="AE87" s="34"/>
      <c r="AF87" s="42"/>
      <c r="AG87" s="41"/>
      <c r="AH87" s="41"/>
      <c r="AI87" s="41"/>
      <c r="AJ87" s="43"/>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33"/>
      <c r="CH87" s="33">
        <v>5</v>
      </c>
      <c r="CI87" s="33">
        <f t="shared" ca="1" si="66"/>
        <v>22.188541666666666</v>
      </c>
      <c r="CJ87" s="33">
        <f t="shared" si="67"/>
        <v>15.315029366737479</v>
      </c>
      <c r="CK87" s="33">
        <f t="shared" ca="1" si="68"/>
        <v>0</v>
      </c>
      <c r="CL87" s="29">
        <v>4</v>
      </c>
      <c r="CN87" s="33">
        <v>5</v>
      </c>
      <c r="CO87" s="33">
        <f t="shared" ca="1" si="69"/>
        <v>35.501666666666665</v>
      </c>
      <c r="CP87" s="33">
        <f t="shared" si="70"/>
        <v>42.175569476223494</v>
      </c>
      <c r="CQ87" s="33">
        <f t="shared" ca="1" si="71"/>
        <v>6.6739028095568287</v>
      </c>
      <c r="CR87" s="29">
        <v>4</v>
      </c>
      <c r="CT87" s="33">
        <v>5</v>
      </c>
      <c r="CU87" s="33">
        <f t="shared" ca="1" si="72"/>
        <v>62.127916666666664</v>
      </c>
      <c r="CV87" s="33">
        <f t="shared" si="73"/>
        <v>86.163453131189826</v>
      </c>
      <c r="CW87" s="33">
        <f t="shared" ca="1" si="74"/>
        <v>24.035536464523162</v>
      </c>
      <c r="CX87" s="29">
        <v>4</v>
      </c>
      <c r="CZ87" s="33">
        <v>5</v>
      </c>
      <c r="DA87" s="33">
        <f t="shared" ca="1" si="75"/>
        <v>106.505</v>
      </c>
      <c r="DB87" s="33">
        <f t="shared" si="76"/>
        <v>176.83411580362122</v>
      </c>
      <c r="DC87" s="33">
        <f t="shared" ca="1" si="77"/>
        <v>70.329115803621221</v>
      </c>
      <c r="DD87" s="29">
        <v>4</v>
      </c>
      <c r="DF87" s="60">
        <v>5</v>
      </c>
      <c r="DG87" s="60">
        <f t="shared" ca="1" si="78"/>
        <v>199.69687499999998</v>
      </c>
      <c r="DH87" s="60">
        <f t="shared" si="79"/>
        <v>309.25081705117628</v>
      </c>
      <c r="DI87" s="60">
        <f t="shared" ca="1" si="80"/>
        <v>109.55394205117631</v>
      </c>
      <c r="DJ87" s="51">
        <v>4</v>
      </c>
      <c r="DL87" s="60">
        <v>5</v>
      </c>
      <c r="DM87" s="60">
        <f t="shared" ca="1" si="81"/>
        <v>337.26583333333332</v>
      </c>
      <c r="DN87" s="60">
        <f t="shared" si="82"/>
        <v>666.26575747867355</v>
      </c>
      <c r="DO87" s="60">
        <f t="shared" ca="1" si="83"/>
        <v>328.99992414534023</v>
      </c>
      <c r="DP87" s="51">
        <v>4</v>
      </c>
      <c r="EC87" s="1">
        <v>0</v>
      </c>
      <c r="ED87" s="30">
        <f>P82</f>
        <v>0</v>
      </c>
      <c r="EG87" s="26" t="s">
        <v>39</v>
      </c>
      <c r="EH87" s="26">
        <v>5</v>
      </c>
      <c r="EI87" s="26">
        <v>63.5</v>
      </c>
      <c r="EJ87" s="26">
        <v>45.5</v>
      </c>
      <c r="EK87" s="26">
        <v>36.1</v>
      </c>
      <c r="EL87" s="26">
        <v>23.2</v>
      </c>
      <c r="EM87" s="26">
        <v>17.600000000000001</v>
      </c>
      <c r="EN87" s="26">
        <v>14.3</v>
      </c>
      <c r="EO87" s="26">
        <v>8.6999999999999993</v>
      </c>
      <c r="EP87" s="26">
        <v>5.2</v>
      </c>
      <c r="EQ87" s="26">
        <v>3</v>
      </c>
      <c r="FF87" s="29">
        <v>83</v>
      </c>
      <c r="FG87" s="29">
        <f t="shared" si="48"/>
        <v>5.2150438049590564</v>
      </c>
      <c r="FH87" s="29">
        <f t="shared" si="50"/>
        <v>3.7107995986840836E-2</v>
      </c>
      <c r="FI87" s="29">
        <f t="shared" si="51"/>
        <v>0.44452610223051447</v>
      </c>
      <c r="FJ87" s="29"/>
      <c r="FL87" s="29">
        <f t="shared" si="52"/>
        <v>0</v>
      </c>
      <c r="FM87" s="29">
        <f t="shared" si="53"/>
        <v>0</v>
      </c>
      <c r="FP87" s="29">
        <f t="shared" si="54"/>
        <v>0</v>
      </c>
      <c r="FQ87" s="29">
        <f t="shared" si="55"/>
        <v>0</v>
      </c>
      <c r="FT87" s="29">
        <f t="shared" si="62"/>
        <v>0.5</v>
      </c>
      <c r="FU87" s="29">
        <f t="shared" si="63"/>
        <v>8.450000000000002E-2</v>
      </c>
      <c r="GK87" s="51">
        <v>83</v>
      </c>
      <c r="GL87" s="51">
        <f t="shared" si="49"/>
        <v>5.2150438049590564</v>
      </c>
      <c r="GM87" s="51">
        <f t="shared" si="56"/>
        <v>3.7107995986840836E-2</v>
      </c>
      <c r="GN87" s="51">
        <f t="shared" si="57"/>
        <v>0.44452610223051447</v>
      </c>
      <c r="GQ87" s="51">
        <f t="shared" si="58"/>
        <v>0</v>
      </c>
      <c r="GR87" s="51">
        <f t="shared" si="59"/>
        <v>0</v>
      </c>
      <c r="GU87" s="51">
        <f t="shared" si="60"/>
        <v>0</v>
      </c>
      <c r="GV87" s="51">
        <f t="shared" si="61"/>
        <v>0</v>
      </c>
      <c r="GY87" s="51">
        <f t="shared" si="64"/>
        <v>0.5</v>
      </c>
      <c r="GZ87" s="51">
        <f t="shared" si="65"/>
        <v>8.450000000000002E-2</v>
      </c>
    </row>
    <row r="88" spans="2:208">
      <c r="B88" s="9"/>
      <c r="C88" s="10"/>
      <c r="D88" s="10"/>
      <c r="E88" s="10"/>
      <c r="F88" s="11"/>
      <c r="G88" s="39"/>
      <c r="H88" s="37"/>
      <c r="I88" s="37"/>
      <c r="J88" s="37"/>
      <c r="K88" s="37"/>
      <c r="L88" s="37"/>
      <c r="M88" s="37"/>
      <c r="N88" s="37"/>
      <c r="O88" s="37"/>
      <c r="P88" s="37"/>
      <c r="Q88" s="37"/>
      <c r="R88" s="37"/>
      <c r="S88" s="37"/>
      <c r="T88" s="37"/>
      <c r="U88" s="41"/>
      <c r="V88" s="41"/>
      <c r="W88" s="41"/>
      <c r="X88" s="41"/>
      <c r="Y88" s="41"/>
      <c r="Z88" s="41"/>
      <c r="AA88" s="41"/>
      <c r="AB88" s="41"/>
      <c r="AC88" s="41"/>
      <c r="AD88" s="41"/>
      <c r="AE88" s="34"/>
      <c r="AF88" s="42"/>
      <c r="AG88" s="41"/>
      <c r="AH88" s="41"/>
      <c r="AI88" s="41"/>
      <c r="AJ88" s="43"/>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33"/>
      <c r="CH88" s="33">
        <v>6</v>
      </c>
      <c r="CI88" s="33">
        <f t="shared" ca="1" si="66"/>
        <v>26.626249999999999</v>
      </c>
      <c r="CJ88" s="33">
        <f t="shared" si="67"/>
        <v>15.36598524607547</v>
      </c>
      <c r="CK88" s="33">
        <f t="shared" ca="1" si="68"/>
        <v>0</v>
      </c>
      <c r="CL88" s="29">
        <v>5</v>
      </c>
      <c r="CN88" s="33">
        <v>6</v>
      </c>
      <c r="CO88" s="33">
        <f t="shared" ca="1" si="69"/>
        <v>39.939374999999998</v>
      </c>
      <c r="CP88" s="33">
        <f t="shared" si="70"/>
        <v>42.268534081459634</v>
      </c>
      <c r="CQ88" s="33">
        <f t="shared" ca="1" si="71"/>
        <v>2.3291590814596361</v>
      </c>
      <c r="CR88" s="29">
        <v>5</v>
      </c>
      <c r="CT88" s="33">
        <v>6</v>
      </c>
      <c r="CU88" s="33">
        <f t="shared" ca="1" si="72"/>
        <v>66.565624999999997</v>
      </c>
      <c r="CV88" s="33">
        <f t="shared" si="73"/>
        <v>86.30545143869459</v>
      </c>
      <c r="CW88" s="33">
        <f t="shared" ca="1" si="74"/>
        <v>19.739826438694593</v>
      </c>
      <c r="CX88" s="29">
        <v>5</v>
      </c>
      <c r="CZ88" s="33">
        <v>6</v>
      </c>
      <c r="DA88" s="33">
        <f t="shared" ca="1" si="75"/>
        <v>110.94270833333333</v>
      </c>
      <c r="DB88" s="33">
        <f t="shared" si="76"/>
        <v>177.05249330975064</v>
      </c>
      <c r="DC88" s="33">
        <f t="shared" ca="1" si="77"/>
        <v>66.109784976417316</v>
      </c>
      <c r="DD88" s="29">
        <v>5</v>
      </c>
      <c r="DF88" s="60">
        <v>6</v>
      </c>
      <c r="DG88" s="60">
        <f t="shared" ca="1" si="78"/>
        <v>204.13458333333332</v>
      </c>
      <c r="DH88" s="60">
        <f t="shared" si="79"/>
        <v>309.55510923754684</v>
      </c>
      <c r="DI88" s="60">
        <f t="shared" ca="1" si="80"/>
        <v>105.42052590421352</v>
      </c>
      <c r="DJ88" s="51">
        <v>5</v>
      </c>
      <c r="DL88" s="60">
        <v>6</v>
      </c>
      <c r="DM88" s="60">
        <f t="shared" ca="1" si="81"/>
        <v>341.70354166666664</v>
      </c>
      <c r="DN88" s="60">
        <f t="shared" si="82"/>
        <v>666.71455608415943</v>
      </c>
      <c r="DO88" s="60">
        <f t="shared" ca="1" si="83"/>
        <v>325.01101441749279</v>
      </c>
      <c r="DP88" s="51">
        <v>5</v>
      </c>
      <c r="EC88" s="1">
        <f>VLOOKUP(ED87,EC62:ED71,2,FALSE)</f>
        <v>0</v>
      </c>
      <c r="ED88" s="30">
        <f>ED87</f>
        <v>0</v>
      </c>
      <c r="EG88" s="26">
        <v>0.4</v>
      </c>
      <c r="EH88" s="26">
        <v>10</v>
      </c>
      <c r="EI88" s="26">
        <v>72.400000000000006</v>
      </c>
      <c r="EJ88" s="26">
        <v>52.1</v>
      </c>
      <c r="EK88" s="26">
        <v>41.5</v>
      </c>
      <c r="EL88" s="26">
        <v>26.9</v>
      </c>
      <c r="EM88" s="26">
        <v>20.399999999999999</v>
      </c>
      <c r="EN88" s="26">
        <v>16.7</v>
      </c>
      <c r="EO88" s="26">
        <v>10.1</v>
      </c>
      <c r="EP88" s="26">
        <v>6.1</v>
      </c>
      <c r="EQ88" s="26">
        <v>4</v>
      </c>
      <c r="FF88" s="29">
        <v>84</v>
      </c>
      <c r="FG88" s="29">
        <f t="shared" si="48"/>
        <v>5.2778756580308519</v>
      </c>
      <c r="FH88" s="29">
        <f t="shared" si="50"/>
        <v>4.6701622349395344E-2</v>
      </c>
      <c r="FI88" s="29">
        <f t="shared" si="51"/>
        <v>0.46074803849369877</v>
      </c>
      <c r="FJ88" s="29"/>
      <c r="FL88" s="29">
        <f t="shared" si="52"/>
        <v>0</v>
      </c>
      <c r="FM88" s="29">
        <f t="shared" si="53"/>
        <v>0</v>
      </c>
      <c r="FP88" s="29">
        <f t="shared" si="54"/>
        <v>0</v>
      </c>
      <c r="FQ88" s="29">
        <f t="shared" si="55"/>
        <v>0</v>
      </c>
      <c r="FT88" s="29">
        <f t="shared" si="62"/>
        <v>0.5</v>
      </c>
      <c r="FU88" s="29">
        <f t="shared" si="63"/>
        <v>8.450000000000002E-2</v>
      </c>
      <c r="GK88" s="51">
        <v>84</v>
      </c>
      <c r="GL88" s="51">
        <f t="shared" si="49"/>
        <v>5.2778756580308519</v>
      </c>
      <c r="GM88" s="51">
        <f t="shared" si="56"/>
        <v>4.6701622349395344E-2</v>
      </c>
      <c r="GN88" s="51">
        <f t="shared" si="57"/>
        <v>0.46074803849369877</v>
      </c>
      <c r="GQ88" s="51">
        <f t="shared" si="58"/>
        <v>0</v>
      </c>
      <c r="GR88" s="51">
        <f t="shared" si="59"/>
        <v>0</v>
      </c>
      <c r="GU88" s="51">
        <f t="shared" si="60"/>
        <v>0</v>
      </c>
      <c r="GV88" s="51">
        <f t="shared" si="61"/>
        <v>0</v>
      </c>
      <c r="GY88" s="51">
        <f t="shared" si="64"/>
        <v>0.5</v>
      </c>
      <c r="GZ88" s="51">
        <f t="shared" si="65"/>
        <v>8.450000000000002E-2</v>
      </c>
    </row>
    <row r="89" spans="2:208">
      <c r="B89" s="9"/>
      <c r="C89" s="10"/>
      <c r="D89" s="10"/>
      <c r="E89" s="10"/>
      <c r="F89" s="11"/>
      <c r="G89" s="39"/>
      <c r="H89" s="37"/>
      <c r="I89" s="37"/>
      <c r="J89" s="37"/>
      <c r="K89" s="37"/>
      <c r="L89" s="37"/>
      <c r="M89" s="37"/>
      <c r="N89" s="37"/>
      <c r="O89" s="37"/>
      <c r="P89" s="37"/>
      <c r="Q89" s="37"/>
      <c r="R89" s="37"/>
      <c r="S89" s="37"/>
      <c r="T89" s="37"/>
      <c r="U89" s="41"/>
      <c r="V89" s="41"/>
      <c r="W89" s="41"/>
      <c r="X89" s="41"/>
      <c r="Y89" s="41"/>
      <c r="Z89" s="41"/>
      <c r="AA89" s="41"/>
      <c r="AB89" s="41"/>
      <c r="AC89" s="41"/>
      <c r="AD89" s="41"/>
      <c r="AE89" s="34"/>
      <c r="AF89" s="42"/>
      <c r="AG89" s="41"/>
      <c r="AH89" s="41"/>
      <c r="AI89" s="41"/>
      <c r="AJ89" s="43"/>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33"/>
      <c r="CH89" s="33">
        <v>7</v>
      </c>
      <c r="CI89" s="33">
        <f t="shared" ca="1" si="66"/>
        <v>31.063958333333332</v>
      </c>
      <c r="CJ89" s="33">
        <f t="shared" si="67"/>
        <v>15.416941125413461</v>
      </c>
      <c r="CK89" s="33">
        <f t="shared" ca="1" si="68"/>
        <v>0</v>
      </c>
      <c r="CL89" s="29">
        <v>6</v>
      </c>
      <c r="CN89" s="33">
        <v>7</v>
      </c>
      <c r="CO89" s="33">
        <f t="shared" ca="1" si="69"/>
        <v>44.377083333333331</v>
      </c>
      <c r="CP89" s="33">
        <f t="shared" si="70"/>
        <v>42.361498686695768</v>
      </c>
      <c r="CQ89" s="33">
        <f t="shared" ca="1" si="71"/>
        <v>0</v>
      </c>
      <c r="CR89" s="29">
        <v>6</v>
      </c>
      <c r="CT89" s="33">
        <v>7</v>
      </c>
      <c r="CU89" s="33">
        <f t="shared" ca="1" si="72"/>
        <v>71.00333333333333</v>
      </c>
      <c r="CV89" s="33">
        <f t="shared" si="73"/>
        <v>86.447449746199368</v>
      </c>
      <c r="CW89" s="33">
        <f t="shared" ca="1" si="74"/>
        <v>15.444116412866038</v>
      </c>
      <c r="CX89" s="29">
        <v>6</v>
      </c>
      <c r="CZ89" s="33">
        <v>7</v>
      </c>
      <c r="DA89" s="33">
        <f t="shared" ca="1" si="75"/>
        <v>115.38041666666666</v>
      </c>
      <c r="DB89" s="33">
        <f t="shared" si="76"/>
        <v>177.2708708158801</v>
      </c>
      <c r="DC89" s="33">
        <f t="shared" ca="1" si="77"/>
        <v>61.89045414921344</v>
      </c>
      <c r="DD89" s="29">
        <v>6</v>
      </c>
      <c r="DF89" s="60">
        <v>7</v>
      </c>
      <c r="DG89" s="60">
        <f t="shared" ca="1" si="78"/>
        <v>208.57229166666667</v>
      </c>
      <c r="DH89" s="60">
        <f t="shared" si="79"/>
        <v>309.85940142391757</v>
      </c>
      <c r="DI89" s="60">
        <f t="shared" ca="1" si="80"/>
        <v>101.2871097572509</v>
      </c>
      <c r="DJ89" s="51">
        <v>6</v>
      </c>
      <c r="DL89" s="60">
        <v>7</v>
      </c>
      <c r="DM89" s="60">
        <f t="shared" ca="1" si="81"/>
        <v>346.14125000000001</v>
      </c>
      <c r="DN89" s="60">
        <f t="shared" si="82"/>
        <v>667.16335468964553</v>
      </c>
      <c r="DO89" s="60">
        <f t="shared" ca="1" si="83"/>
        <v>321.02210468964552</v>
      </c>
      <c r="DP89" s="51">
        <v>6</v>
      </c>
      <c r="EG89" s="26"/>
      <c r="EH89" s="26">
        <v>15</v>
      </c>
      <c r="EI89" s="26">
        <v>78.099999999999994</v>
      </c>
      <c r="EJ89" s="26">
        <v>56.4</v>
      </c>
      <c r="EK89" s="26">
        <v>45.1</v>
      </c>
      <c r="EL89" s="26">
        <v>29.3</v>
      </c>
      <c r="EM89" s="26">
        <v>22.3</v>
      </c>
      <c r="EN89" s="26">
        <v>18.3</v>
      </c>
      <c r="EO89" s="26">
        <v>11.1</v>
      </c>
      <c r="EP89" s="26">
        <v>6.7</v>
      </c>
      <c r="EQ89" s="26">
        <v>4</v>
      </c>
      <c r="FF89" s="29">
        <v>85</v>
      </c>
      <c r="FG89" s="29">
        <f t="shared" si="48"/>
        <v>5.3407075111026483</v>
      </c>
      <c r="FH89" s="29">
        <f t="shared" si="50"/>
        <v>5.729490168751572E-2</v>
      </c>
      <c r="FI89" s="29">
        <f t="shared" si="51"/>
        <v>0.47633557568774187</v>
      </c>
      <c r="FJ89" s="29"/>
      <c r="FL89" s="29">
        <f t="shared" si="52"/>
        <v>0</v>
      </c>
      <c r="FM89" s="29">
        <f t="shared" si="53"/>
        <v>0</v>
      </c>
      <c r="FP89" s="29">
        <f t="shared" si="54"/>
        <v>0</v>
      </c>
      <c r="FQ89" s="29">
        <f t="shared" si="55"/>
        <v>0</v>
      </c>
      <c r="FT89" s="29">
        <f t="shared" si="62"/>
        <v>0.5</v>
      </c>
      <c r="FU89" s="29">
        <f t="shared" si="63"/>
        <v>8.450000000000002E-2</v>
      </c>
      <c r="GK89" s="51">
        <v>85</v>
      </c>
      <c r="GL89" s="51">
        <f t="shared" si="49"/>
        <v>5.3407075111026483</v>
      </c>
      <c r="GM89" s="51">
        <f t="shared" si="56"/>
        <v>5.729490168751572E-2</v>
      </c>
      <c r="GN89" s="51">
        <f t="shared" si="57"/>
        <v>0.47633557568774187</v>
      </c>
      <c r="GQ89" s="51">
        <f t="shared" si="58"/>
        <v>0</v>
      </c>
      <c r="GR89" s="51">
        <f t="shared" si="59"/>
        <v>0</v>
      </c>
      <c r="GU89" s="51">
        <f t="shared" si="60"/>
        <v>0</v>
      </c>
      <c r="GV89" s="51">
        <f t="shared" si="61"/>
        <v>0</v>
      </c>
      <c r="GY89" s="51">
        <f t="shared" si="64"/>
        <v>0.5</v>
      </c>
      <c r="GZ89" s="51">
        <f t="shared" si="65"/>
        <v>8.450000000000002E-2</v>
      </c>
    </row>
    <row r="90" spans="2:208">
      <c r="B90" s="9"/>
      <c r="C90" s="10"/>
      <c r="D90" s="10"/>
      <c r="E90" s="10"/>
      <c r="F90" s="11"/>
      <c r="G90" s="39"/>
      <c r="H90" s="37"/>
      <c r="I90" s="37"/>
      <c r="J90" s="37"/>
      <c r="K90" s="37"/>
      <c r="L90" s="37"/>
      <c r="M90" s="37"/>
      <c r="N90" s="37"/>
      <c r="O90" s="37"/>
      <c r="P90" s="37"/>
      <c r="Q90" s="37"/>
      <c r="R90" s="37"/>
      <c r="S90" s="37"/>
      <c r="T90" s="37"/>
      <c r="U90" s="41"/>
      <c r="V90" s="41"/>
      <c r="W90" s="41"/>
      <c r="X90" s="41"/>
      <c r="Y90" s="41"/>
      <c r="Z90" s="41"/>
      <c r="AA90" s="41"/>
      <c r="AB90" s="41"/>
      <c r="AC90" s="41"/>
      <c r="AD90" s="41"/>
      <c r="AE90" s="34"/>
      <c r="AF90" s="42"/>
      <c r="AG90" s="41"/>
      <c r="AH90" s="41"/>
      <c r="AI90" s="41"/>
      <c r="AJ90" s="43"/>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33"/>
      <c r="CH90" s="33">
        <v>8</v>
      </c>
      <c r="CI90" s="33">
        <f t="shared" ca="1" si="66"/>
        <v>35.501666666666665</v>
      </c>
      <c r="CJ90" s="33">
        <f t="shared" si="67"/>
        <v>15.467897004751453</v>
      </c>
      <c r="CK90" s="33">
        <f t="shared" ca="1" si="68"/>
        <v>0</v>
      </c>
      <c r="CL90" s="29">
        <v>7</v>
      </c>
      <c r="CN90" s="33">
        <v>8</v>
      </c>
      <c r="CO90" s="33">
        <f t="shared" ca="1" si="69"/>
        <v>48.814791666666665</v>
      </c>
      <c r="CP90" s="33">
        <f t="shared" si="70"/>
        <v>42.454463291931901</v>
      </c>
      <c r="CQ90" s="33">
        <f t="shared" ca="1" si="71"/>
        <v>0</v>
      </c>
      <c r="CR90" s="29">
        <v>7</v>
      </c>
      <c r="CT90" s="33">
        <v>8</v>
      </c>
      <c r="CU90" s="33">
        <f t="shared" ca="1" si="72"/>
        <v>75.441041666666663</v>
      </c>
      <c r="CV90" s="33">
        <f t="shared" si="73"/>
        <v>86.589448053704132</v>
      </c>
      <c r="CW90" s="33">
        <f t="shared" ca="1" si="74"/>
        <v>11.148406387037468</v>
      </c>
      <c r="CX90" s="29">
        <v>7</v>
      </c>
      <c r="CZ90" s="33">
        <v>8</v>
      </c>
      <c r="DA90" s="33">
        <f t="shared" ca="1" si="75"/>
        <v>119.81812499999999</v>
      </c>
      <c r="DB90" s="33">
        <f t="shared" si="76"/>
        <v>177.48924832200956</v>
      </c>
      <c r="DC90" s="33">
        <f t="shared" ca="1" si="77"/>
        <v>57.671123322009564</v>
      </c>
      <c r="DD90" s="29">
        <v>7</v>
      </c>
      <c r="DF90" s="60">
        <v>8</v>
      </c>
      <c r="DG90" s="60">
        <f t="shared" ca="1" si="78"/>
        <v>213.01</v>
      </c>
      <c r="DH90" s="60">
        <f t="shared" si="79"/>
        <v>310.16369361028819</v>
      </c>
      <c r="DI90" s="60">
        <f t="shared" ca="1" si="80"/>
        <v>97.153693610288201</v>
      </c>
      <c r="DJ90" s="51">
        <v>7</v>
      </c>
      <c r="DL90" s="60">
        <v>8</v>
      </c>
      <c r="DM90" s="60">
        <f t="shared" ca="1" si="81"/>
        <v>350.57895833333333</v>
      </c>
      <c r="DN90" s="60">
        <f t="shared" si="82"/>
        <v>667.61215329513141</v>
      </c>
      <c r="DO90" s="60">
        <f t="shared" ca="1" si="83"/>
        <v>317.03319496179807</v>
      </c>
      <c r="DP90" s="51">
        <v>7</v>
      </c>
      <c r="EG90" s="26"/>
      <c r="EH90" s="26">
        <v>20</v>
      </c>
      <c r="EI90" s="26">
        <v>82.4</v>
      </c>
      <c r="EJ90" s="26">
        <v>59.7</v>
      </c>
      <c r="EK90" s="26">
        <v>47.8</v>
      </c>
      <c r="EL90" s="26">
        <v>31.2</v>
      </c>
      <c r="EM90" s="26">
        <v>23.7</v>
      </c>
      <c r="EN90" s="26">
        <v>19.399999999999999</v>
      </c>
      <c r="EO90" s="26">
        <v>11.8</v>
      </c>
      <c r="EP90" s="26">
        <v>7.1</v>
      </c>
      <c r="EQ90" s="26">
        <v>5</v>
      </c>
      <c r="FF90" s="29">
        <v>86</v>
      </c>
      <c r="FG90" s="29">
        <f t="shared" si="48"/>
        <v>5.4035393641744438</v>
      </c>
      <c r="FH90" s="29">
        <f t="shared" si="50"/>
        <v>6.8846027167263124E-2</v>
      </c>
      <c r="FI90" s="29">
        <f t="shared" si="51"/>
        <v>0.49122719692460681</v>
      </c>
      <c r="FJ90" s="29"/>
      <c r="FL90" s="29">
        <f t="shared" si="52"/>
        <v>0</v>
      </c>
      <c r="FM90" s="29">
        <f t="shared" si="53"/>
        <v>0</v>
      </c>
      <c r="FP90" s="29">
        <f t="shared" si="54"/>
        <v>0</v>
      </c>
      <c r="FQ90" s="29">
        <f t="shared" si="55"/>
        <v>0</v>
      </c>
      <c r="FT90" s="29">
        <f t="shared" si="62"/>
        <v>0.5</v>
      </c>
      <c r="FU90" s="29">
        <f t="shared" si="63"/>
        <v>8.450000000000002E-2</v>
      </c>
      <c r="GK90" s="51">
        <v>86</v>
      </c>
      <c r="GL90" s="51">
        <f t="shared" si="49"/>
        <v>5.4035393641744438</v>
      </c>
      <c r="GM90" s="51">
        <f t="shared" si="56"/>
        <v>6.8846027167263124E-2</v>
      </c>
      <c r="GN90" s="51">
        <f t="shared" si="57"/>
        <v>0.49122719692460681</v>
      </c>
      <c r="GQ90" s="51">
        <f t="shared" si="58"/>
        <v>0</v>
      </c>
      <c r="GR90" s="51">
        <f t="shared" si="59"/>
        <v>0</v>
      </c>
      <c r="GU90" s="51">
        <f t="shared" si="60"/>
        <v>0</v>
      </c>
      <c r="GV90" s="51">
        <f t="shared" si="61"/>
        <v>0</v>
      </c>
      <c r="GY90" s="51">
        <f t="shared" si="64"/>
        <v>0.5</v>
      </c>
      <c r="GZ90" s="51">
        <f t="shared" si="65"/>
        <v>8.450000000000002E-2</v>
      </c>
    </row>
    <row r="91" spans="2:208">
      <c r="B91" s="9"/>
      <c r="C91" s="10"/>
      <c r="D91" s="10"/>
      <c r="E91" s="10"/>
      <c r="F91" s="11"/>
      <c r="G91" s="39"/>
      <c r="H91" s="37"/>
      <c r="I91" s="37"/>
      <c r="J91" s="37"/>
      <c r="K91" s="37"/>
      <c r="L91" s="37"/>
      <c r="M91" s="37"/>
      <c r="N91" s="37"/>
      <c r="O91" s="37"/>
      <c r="P91" s="37"/>
      <c r="Q91" s="37"/>
      <c r="R91" s="37"/>
      <c r="S91" s="37"/>
      <c r="T91" s="37"/>
      <c r="U91" s="41"/>
      <c r="V91" s="41"/>
      <c r="W91" s="41"/>
      <c r="X91" s="41"/>
      <c r="Y91" s="41"/>
      <c r="Z91" s="41"/>
      <c r="AA91" s="41"/>
      <c r="AB91" s="41"/>
      <c r="AC91" s="41"/>
      <c r="AD91" s="41"/>
      <c r="AE91" s="34"/>
      <c r="AF91" s="42"/>
      <c r="AG91" s="41"/>
      <c r="AH91" s="41"/>
      <c r="AI91" s="41"/>
      <c r="AJ91" s="43"/>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33"/>
      <c r="CH91" s="33">
        <v>9</v>
      </c>
      <c r="CI91" s="33">
        <f t="shared" ca="1" si="66"/>
        <v>39.939374999999998</v>
      </c>
      <c r="CJ91" s="33">
        <f t="shared" si="67"/>
        <v>15.518852884089448</v>
      </c>
      <c r="CK91" s="33">
        <f t="shared" ca="1" si="68"/>
        <v>0</v>
      </c>
      <c r="CL91" s="29">
        <v>8</v>
      </c>
      <c r="CN91" s="33">
        <v>9</v>
      </c>
      <c r="CO91" s="33">
        <f t="shared" ca="1" si="69"/>
        <v>53.252499999999998</v>
      </c>
      <c r="CP91" s="33">
        <f t="shared" si="70"/>
        <v>42.547427897168035</v>
      </c>
      <c r="CQ91" s="33">
        <f t="shared" ca="1" si="71"/>
        <v>0</v>
      </c>
      <c r="CR91" s="29">
        <v>8</v>
      </c>
      <c r="CT91" s="33">
        <v>9</v>
      </c>
      <c r="CU91" s="33">
        <f t="shared" ca="1" si="72"/>
        <v>79.878749999999997</v>
      </c>
      <c r="CV91" s="33">
        <f t="shared" si="73"/>
        <v>86.731446361208896</v>
      </c>
      <c r="CW91" s="33">
        <f t="shared" ca="1" si="74"/>
        <v>6.8526963612088991</v>
      </c>
      <c r="CX91" s="29">
        <v>8</v>
      </c>
      <c r="CZ91" s="33">
        <v>9</v>
      </c>
      <c r="DA91" s="33">
        <f t="shared" ca="1" si="75"/>
        <v>124.25583333333333</v>
      </c>
      <c r="DB91" s="33">
        <f t="shared" si="76"/>
        <v>177.70762582813902</v>
      </c>
      <c r="DC91" s="33">
        <f t="shared" ca="1" si="77"/>
        <v>53.451792494805687</v>
      </c>
      <c r="DD91" s="29">
        <v>8</v>
      </c>
      <c r="DF91" s="60">
        <v>9</v>
      </c>
      <c r="DG91" s="60">
        <f t="shared" ca="1" si="78"/>
        <v>217.44770833333331</v>
      </c>
      <c r="DH91" s="60">
        <f t="shared" si="79"/>
        <v>310.46798579665887</v>
      </c>
      <c r="DI91" s="60">
        <f t="shared" ca="1" si="80"/>
        <v>93.020277463325556</v>
      </c>
      <c r="DJ91" s="51">
        <v>8</v>
      </c>
      <c r="DL91" s="60">
        <v>9</v>
      </c>
      <c r="DM91" s="60">
        <f t="shared" ca="1" si="81"/>
        <v>355.01666666666665</v>
      </c>
      <c r="DN91" s="60">
        <f t="shared" si="82"/>
        <v>668.0609519006174</v>
      </c>
      <c r="DO91" s="60">
        <f t="shared" ca="1" si="83"/>
        <v>313.04428523395075</v>
      </c>
      <c r="DP91" s="51">
        <v>8</v>
      </c>
      <c r="EG91" s="26"/>
      <c r="EH91" s="26">
        <v>25</v>
      </c>
      <c r="EI91" s="26">
        <v>85.9</v>
      </c>
      <c r="EJ91" s="26">
        <v>62.4</v>
      </c>
      <c r="EK91" s="26">
        <v>50</v>
      </c>
      <c r="EL91" s="26">
        <v>32.700000000000003</v>
      </c>
      <c r="EM91" s="26">
        <v>24.9</v>
      </c>
      <c r="EN91" s="26">
        <v>20.399999999999999</v>
      </c>
      <c r="EO91" s="26">
        <v>12.5</v>
      </c>
      <c r="EP91" s="26">
        <v>7.5</v>
      </c>
      <c r="EQ91" s="26">
        <v>5</v>
      </c>
      <c r="FF91" s="29">
        <v>87</v>
      </c>
      <c r="FG91" s="29">
        <f t="shared" si="48"/>
        <v>5.4663712172462402</v>
      </c>
      <c r="FH91" s="29">
        <f t="shared" si="50"/>
        <v>8.1309411773576534E-2</v>
      </c>
      <c r="FI91" s="29">
        <f t="shared" si="51"/>
        <v>0.50536413177860662</v>
      </c>
      <c r="FJ91" s="29"/>
      <c r="FL91" s="29">
        <f t="shared" si="52"/>
        <v>0</v>
      </c>
      <c r="FM91" s="29">
        <f t="shared" si="53"/>
        <v>0</v>
      </c>
      <c r="FP91" s="29">
        <f t="shared" si="54"/>
        <v>0</v>
      </c>
      <c r="FQ91" s="29">
        <f t="shared" si="55"/>
        <v>0</v>
      </c>
      <c r="FT91" s="29">
        <f t="shared" si="62"/>
        <v>0.5</v>
      </c>
      <c r="FU91" s="29">
        <f t="shared" si="63"/>
        <v>8.450000000000002E-2</v>
      </c>
      <c r="GK91" s="51">
        <v>87</v>
      </c>
      <c r="GL91" s="51">
        <f t="shared" si="49"/>
        <v>5.4663712172462402</v>
      </c>
      <c r="GM91" s="51">
        <f t="shared" si="56"/>
        <v>8.1309411773576534E-2</v>
      </c>
      <c r="GN91" s="51">
        <f t="shared" si="57"/>
        <v>0.50536413177860662</v>
      </c>
      <c r="GQ91" s="51">
        <f t="shared" si="58"/>
        <v>0</v>
      </c>
      <c r="GR91" s="51">
        <f t="shared" si="59"/>
        <v>0</v>
      </c>
      <c r="GU91" s="51">
        <f t="shared" si="60"/>
        <v>0</v>
      </c>
      <c r="GV91" s="51">
        <f t="shared" si="61"/>
        <v>0</v>
      </c>
      <c r="GY91" s="51">
        <f t="shared" si="64"/>
        <v>0.5</v>
      </c>
      <c r="GZ91" s="51">
        <f t="shared" si="65"/>
        <v>8.450000000000002E-2</v>
      </c>
    </row>
    <row r="92" spans="2:208">
      <c r="B92" s="9"/>
      <c r="C92" s="10"/>
      <c r="D92" s="10"/>
      <c r="E92" s="10"/>
      <c r="F92" s="11"/>
      <c r="G92" s="39"/>
      <c r="H92" s="37"/>
      <c r="I92" s="37"/>
      <c r="J92" s="37"/>
      <c r="K92" s="37"/>
      <c r="L92" s="37"/>
      <c r="M92" s="37"/>
      <c r="N92" s="37"/>
      <c r="O92" s="37"/>
      <c r="P92" s="37"/>
      <c r="Q92" s="37"/>
      <c r="R92" s="37"/>
      <c r="S92" s="37"/>
      <c r="T92" s="37"/>
      <c r="U92" s="41"/>
      <c r="V92" s="41"/>
      <c r="W92" s="41"/>
      <c r="X92" s="41"/>
      <c r="Y92" s="41"/>
      <c r="Z92" s="41"/>
      <c r="AA92" s="41"/>
      <c r="AB92" s="41"/>
      <c r="AC92" s="41"/>
      <c r="AD92" s="41"/>
      <c r="AE92" s="34"/>
      <c r="AF92" s="42"/>
      <c r="AG92" s="41"/>
      <c r="AH92" s="41"/>
      <c r="AI92" s="41"/>
      <c r="AJ92" s="43"/>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33"/>
      <c r="CH92" s="33">
        <v>10</v>
      </c>
      <c r="CI92" s="33">
        <f t="shared" ca="1" si="66"/>
        <v>44.377083333333331</v>
      </c>
      <c r="CJ92" s="33">
        <f t="shared" si="67"/>
        <v>15.56980876342744</v>
      </c>
      <c r="CK92" s="33">
        <f t="shared" ca="1" si="68"/>
        <v>0</v>
      </c>
      <c r="CL92" s="29">
        <v>9</v>
      </c>
      <c r="CN92" s="33">
        <v>10</v>
      </c>
      <c r="CO92" s="33">
        <f t="shared" ca="1" si="69"/>
        <v>57.690208333333331</v>
      </c>
      <c r="CP92" s="33">
        <f t="shared" si="70"/>
        <v>42.640392502404175</v>
      </c>
      <c r="CQ92" s="33">
        <f t="shared" ca="1" si="71"/>
        <v>0</v>
      </c>
      <c r="CR92" s="29">
        <v>9</v>
      </c>
      <c r="CT92" s="33">
        <v>10</v>
      </c>
      <c r="CU92" s="33">
        <f t="shared" ca="1" si="72"/>
        <v>84.31645833333333</v>
      </c>
      <c r="CV92" s="33">
        <f t="shared" si="73"/>
        <v>86.873444668713674</v>
      </c>
      <c r="CW92" s="33">
        <f t="shared" ca="1" si="74"/>
        <v>2.5569863353803441</v>
      </c>
      <c r="CX92" s="29">
        <v>9</v>
      </c>
      <c r="CZ92" s="33">
        <v>10</v>
      </c>
      <c r="DA92" s="33">
        <f t="shared" ca="1" si="75"/>
        <v>128.69354166666665</v>
      </c>
      <c r="DB92" s="33">
        <f t="shared" si="76"/>
        <v>177.92600333426847</v>
      </c>
      <c r="DC92" s="33">
        <f t="shared" ca="1" si="77"/>
        <v>49.232461667601825</v>
      </c>
      <c r="DD92" s="29">
        <v>9</v>
      </c>
      <c r="DF92" s="60">
        <v>10</v>
      </c>
      <c r="DG92" s="60">
        <f t="shared" ca="1" si="78"/>
        <v>221.88541666666666</v>
      </c>
      <c r="DH92" s="60">
        <f t="shared" si="79"/>
        <v>310.77227798302948</v>
      </c>
      <c r="DI92" s="60">
        <f t="shared" ca="1" si="80"/>
        <v>88.886861316362825</v>
      </c>
      <c r="DJ92" s="51">
        <v>9</v>
      </c>
      <c r="DL92" s="60">
        <v>10</v>
      </c>
      <c r="DM92" s="60">
        <f t="shared" ca="1" si="81"/>
        <v>359.45437499999997</v>
      </c>
      <c r="DN92" s="60">
        <f t="shared" si="82"/>
        <v>668.50975050610339</v>
      </c>
      <c r="DO92" s="60">
        <f t="shared" ca="1" si="83"/>
        <v>309.05537550610342</v>
      </c>
      <c r="DP92" s="51">
        <v>9</v>
      </c>
      <c r="EG92" s="26"/>
      <c r="EH92" s="26">
        <v>30</v>
      </c>
      <c r="EI92" s="26">
        <v>88.9</v>
      </c>
      <c r="EJ92" s="26">
        <v>64.7</v>
      </c>
      <c r="EK92" s="26">
        <v>51.9</v>
      </c>
      <c r="EL92" s="26">
        <v>34</v>
      </c>
      <c r="EM92" s="26">
        <v>25.9</v>
      </c>
      <c r="EN92" s="26">
        <v>21.3</v>
      </c>
      <c r="EO92" s="26">
        <v>13</v>
      </c>
      <c r="EP92" s="26">
        <v>7.8</v>
      </c>
      <c r="EQ92" s="26">
        <v>5</v>
      </c>
      <c r="FF92" s="29">
        <v>88</v>
      </c>
      <c r="FG92" s="29">
        <f t="shared" si="48"/>
        <v>5.5292030703180357</v>
      </c>
      <c r="FH92" s="29">
        <f t="shared" si="50"/>
        <v>9.4635868221393304E-2</v>
      </c>
      <c r="FI92" s="29">
        <f t="shared" si="51"/>
        <v>0.51869058822642333</v>
      </c>
      <c r="FJ92" s="29"/>
      <c r="FL92" s="29">
        <f t="shared" si="52"/>
        <v>0</v>
      </c>
      <c r="FM92" s="29">
        <f t="shared" si="53"/>
        <v>0</v>
      </c>
      <c r="FP92" s="29">
        <f t="shared" si="54"/>
        <v>0</v>
      </c>
      <c r="FQ92" s="29">
        <f t="shared" si="55"/>
        <v>0</v>
      </c>
      <c r="FT92" s="29">
        <f t="shared" si="62"/>
        <v>0.5</v>
      </c>
      <c r="FU92" s="29">
        <f t="shared" si="63"/>
        <v>8.450000000000002E-2</v>
      </c>
      <c r="GK92" s="51">
        <v>88</v>
      </c>
      <c r="GL92" s="51">
        <f t="shared" si="49"/>
        <v>5.5292030703180357</v>
      </c>
      <c r="GM92" s="51">
        <f t="shared" si="56"/>
        <v>9.4635868221393304E-2</v>
      </c>
      <c r="GN92" s="51">
        <f t="shared" si="57"/>
        <v>0.51869058822642333</v>
      </c>
      <c r="GQ92" s="51">
        <f t="shared" si="58"/>
        <v>0</v>
      </c>
      <c r="GR92" s="51">
        <f t="shared" si="59"/>
        <v>0</v>
      </c>
      <c r="GU92" s="51">
        <f t="shared" si="60"/>
        <v>0</v>
      </c>
      <c r="GV92" s="51">
        <f t="shared" si="61"/>
        <v>0</v>
      </c>
      <c r="GY92" s="51">
        <f t="shared" si="64"/>
        <v>0.5</v>
      </c>
      <c r="GZ92" s="51">
        <f t="shared" si="65"/>
        <v>8.450000000000002E-2</v>
      </c>
    </row>
    <row r="93" spans="2:208">
      <c r="B93" s="9"/>
      <c r="C93" s="10"/>
      <c r="D93" s="10"/>
      <c r="E93" s="10"/>
      <c r="F93" s="11"/>
      <c r="G93" s="39"/>
      <c r="H93" s="37"/>
      <c r="I93" s="37"/>
      <c r="J93" s="37"/>
      <c r="K93" s="37"/>
      <c r="L93" s="37"/>
      <c r="M93" s="37"/>
      <c r="N93" s="37"/>
      <c r="O93" s="37"/>
      <c r="P93" s="37"/>
      <c r="Q93" s="37"/>
      <c r="R93" s="37"/>
      <c r="S93" s="37"/>
      <c r="T93" s="37"/>
      <c r="U93" s="41"/>
      <c r="V93" s="41"/>
      <c r="W93" s="41"/>
      <c r="X93" s="41"/>
      <c r="Y93" s="41"/>
      <c r="Z93" s="41"/>
      <c r="AA93" s="41"/>
      <c r="AB93" s="41"/>
      <c r="AC93" s="41"/>
      <c r="AD93" s="41"/>
      <c r="AE93" s="34"/>
      <c r="AF93" s="42"/>
      <c r="AG93" s="41"/>
      <c r="AH93" s="41"/>
      <c r="AI93" s="41"/>
      <c r="AJ93" s="43"/>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33"/>
      <c r="CH93" s="33">
        <v>11</v>
      </c>
      <c r="CI93" s="33">
        <f t="shared" ca="1" si="66"/>
        <v>48.814791666666665</v>
      </c>
      <c r="CJ93" s="33">
        <f t="shared" si="67"/>
        <v>15.620764642765431</v>
      </c>
      <c r="CK93" s="33">
        <f t="shared" ca="1" si="68"/>
        <v>0</v>
      </c>
      <c r="CL93" s="29">
        <v>10</v>
      </c>
      <c r="CN93" s="33">
        <v>11</v>
      </c>
      <c r="CO93" s="33">
        <f t="shared" ca="1" si="69"/>
        <v>62.127916666666664</v>
      </c>
      <c r="CP93" s="33">
        <f t="shared" si="70"/>
        <v>42.733357107640309</v>
      </c>
      <c r="CQ93" s="33">
        <f t="shared" ca="1" si="71"/>
        <v>0</v>
      </c>
      <c r="CR93" s="29">
        <v>10</v>
      </c>
      <c r="CT93" s="33">
        <v>11</v>
      </c>
      <c r="CU93" s="33">
        <f t="shared" ca="1" si="72"/>
        <v>88.754166666666663</v>
      </c>
      <c r="CV93" s="33">
        <f t="shared" si="73"/>
        <v>87.015442976218438</v>
      </c>
      <c r="CW93" s="33">
        <f t="shared" ca="1" si="74"/>
        <v>0</v>
      </c>
      <c r="CX93" s="29">
        <v>10</v>
      </c>
      <c r="CZ93" s="33">
        <v>11</v>
      </c>
      <c r="DA93" s="33">
        <f t="shared" ca="1" si="75"/>
        <v>133.13124999999999</v>
      </c>
      <c r="DB93" s="33">
        <f t="shared" si="76"/>
        <v>178.14438084039793</v>
      </c>
      <c r="DC93" s="33">
        <f t="shared" ca="1" si="77"/>
        <v>45.013130840397935</v>
      </c>
      <c r="DD93" s="29">
        <v>10</v>
      </c>
      <c r="DF93" s="60">
        <v>11</v>
      </c>
      <c r="DG93" s="60">
        <f t="shared" ca="1" si="78"/>
        <v>226.323125</v>
      </c>
      <c r="DH93" s="60">
        <f t="shared" si="79"/>
        <v>311.0765701694001</v>
      </c>
      <c r="DI93" s="60">
        <f t="shared" ca="1" si="80"/>
        <v>84.753445169400095</v>
      </c>
      <c r="DJ93" s="51">
        <v>10</v>
      </c>
      <c r="DL93" s="60">
        <v>11</v>
      </c>
      <c r="DM93" s="60">
        <f t="shared" ca="1" si="81"/>
        <v>363.89208333333329</v>
      </c>
      <c r="DN93" s="60">
        <f t="shared" si="82"/>
        <v>668.95854911158938</v>
      </c>
      <c r="DO93" s="60">
        <f t="shared" ca="1" si="83"/>
        <v>305.06646577825609</v>
      </c>
      <c r="DP93" s="51">
        <v>10</v>
      </c>
      <c r="EG93" s="26"/>
      <c r="EH93" s="26">
        <v>50</v>
      </c>
      <c r="EI93" s="26">
        <v>97.9</v>
      </c>
      <c r="EJ93" s="26">
        <v>71.5</v>
      </c>
      <c r="EK93" s="26">
        <v>57.6</v>
      </c>
      <c r="EL93" s="26">
        <v>37.9</v>
      </c>
      <c r="EM93" s="26">
        <v>29</v>
      </c>
      <c r="EN93" s="26">
        <v>23.8</v>
      </c>
      <c r="EO93" s="26">
        <v>14.6</v>
      </c>
      <c r="EP93" s="26">
        <v>8.8000000000000007</v>
      </c>
      <c r="EQ93" s="26">
        <v>5</v>
      </c>
      <c r="FF93" s="29">
        <v>89</v>
      </c>
      <c r="FG93" s="29">
        <f t="shared" si="48"/>
        <v>5.5920349233898321</v>
      </c>
      <c r="FH93" s="29">
        <f t="shared" si="50"/>
        <v>0.10877280307539311</v>
      </c>
      <c r="FI93" s="29">
        <f t="shared" si="51"/>
        <v>0.5311539728327368</v>
      </c>
      <c r="FJ93" s="29"/>
      <c r="FL93" s="29">
        <f t="shared" si="52"/>
        <v>0</v>
      </c>
      <c r="FM93" s="29">
        <f t="shared" si="53"/>
        <v>0</v>
      </c>
      <c r="FP93" s="29">
        <f t="shared" si="54"/>
        <v>0</v>
      </c>
      <c r="FQ93" s="29">
        <f t="shared" si="55"/>
        <v>0</v>
      </c>
      <c r="FT93" s="29">
        <f t="shared" si="62"/>
        <v>0.5</v>
      </c>
      <c r="FU93" s="29">
        <f t="shared" si="63"/>
        <v>8.450000000000002E-2</v>
      </c>
      <c r="GK93" s="51">
        <v>89</v>
      </c>
      <c r="GL93" s="51">
        <f t="shared" si="49"/>
        <v>5.5920349233898321</v>
      </c>
      <c r="GM93" s="51">
        <f t="shared" si="56"/>
        <v>0.10877280307539311</v>
      </c>
      <c r="GN93" s="51">
        <f t="shared" si="57"/>
        <v>0.5311539728327368</v>
      </c>
      <c r="GQ93" s="51">
        <f t="shared" si="58"/>
        <v>0</v>
      </c>
      <c r="GR93" s="51">
        <f t="shared" si="59"/>
        <v>0</v>
      </c>
      <c r="GU93" s="51">
        <f t="shared" si="60"/>
        <v>0</v>
      </c>
      <c r="GV93" s="51">
        <f t="shared" si="61"/>
        <v>0</v>
      </c>
      <c r="GY93" s="51">
        <f t="shared" si="64"/>
        <v>0.5</v>
      </c>
      <c r="GZ93" s="51">
        <f t="shared" si="65"/>
        <v>8.450000000000002E-2</v>
      </c>
    </row>
    <row r="94" spans="2:208">
      <c r="B94" s="9"/>
      <c r="C94" s="10"/>
      <c r="D94" s="10"/>
      <c r="E94" s="10"/>
      <c r="F94" s="11"/>
      <c r="G94" s="39"/>
      <c r="H94" s="37"/>
      <c r="I94" s="37"/>
      <c r="J94" s="37"/>
      <c r="K94" s="37"/>
      <c r="L94" s="37"/>
      <c r="M94" s="37"/>
      <c r="N94" s="37"/>
      <c r="O94" s="37"/>
      <c r="P94" s="37"/>
      <c r="Q94" s="37"/>
      <c r="R94" s="37"/>
      <c r="S94" s="37"/>
      <c r="T94" s="37"/>
      <c r="U94" s="41"/>
      <c r="V94" s="41"/>
      <c r="W94" s="41"/>
      <c r="X94" s="41"/>
      <c r="Y94" s="41"/>
      <c r="Z94" s="41"/>
      <c r="AA94" s="41"/>
      <c r="AB94" s="41"/>
      <c r="AC94" s="41"/>
      <c r="AD94" s="41"/>
      <c r="AE94" s="34"/>
      <c r="AF94" s="42"/>
      <c r="AG94" s="41"/>
      <c r="AH94" s="41"/>
      <c r="AI94" s="41"/>
      <c r="AJ94" s="43"/>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33"/>
      <c r="CH94" s="33">
        <v>12</v>
      </c>
      <c r="CI94" s="33">
        <f t="shared" ca="1" si="66"/>
        <v>53.252499999999998</v>
      </c>
      <c r="CJ94" s="33">
        <f t="shared" si="67"/>
        <v>15.671720522103422</v>
      </c>
      <c r="CK94" s="33">
        <f t="shared" ca="1" si="68"/>
        <v>0</v>
      </c>
      <c r="CL94" s="29">
        <v>11</v>
      </c>
      <c r="CN94" s="33">
        <v>12</v>
      </c>
      <c r="CO94" s="33">
        <f t="shared" ca="1" si="69"/>
        <v>66.565624999999997</v>
      </c>
      <c r="CP94" s="33">
        <f t="shared" si="70"/>
        <v>42.826321712876442</v>
      </c>
      <c r="CQ94" s="33">
        <f t="shared" ca="1" si="71"/>
        <v>0</v>
      </c>
      <c r="CR94" s="29">
        <v>11</v>
      </c>
      <c r="CT94" s="33">
        <v>12</v>
      </c>
      <c r="CU94" s="33">
        <f t="shared" ca="1" si="72"/>
        <v>93.191874999999996</v>
      </c>
      <c r="CV94" s="33">
        <f t="shared" si="73"/>
        <v>87.157441283723216</v>
      </c>
      <c r="CW94" s="33">
        <f t="shared" ca="1" si="74"/>
        <v>0</v>
      </c>
      <c r="CX94" s="29">
        <v>11</v>
      </c>
      <c r="CZ94" s="33">
        <v>12</v>
      </c>
      <c r="DA94" s="33">
        <f t="shared" ca="1" si="75"/>
        <v>137.56895833333334</v>
      </c>
      <c r="DB94" s="33">
        <f t="shared" si="76"/>
        <v>178.36275834652741</v>
      </c>
      <c r="DC94" s="33">
        <f t="shared" ca="1" si="77"/>
        <v>40.793800013194073</v>
      </c>
      <c r="DD94" s="29">
        <v>11</v>
      </c>
      <c r="DF94" s="60">
        <v>12</v>
      </c>
      <c r="DG94" s="60">
        <f t="shared" ca="1" si="78"/>
        <v>230.76083333333332</v>
      </c>
      <c r="DH94" s="60">
        <f t="shared" si="79"/>
        <v>311.38086235577077</v>
      </c>
      <c r="DI94" s="60">
        <f t="shared" ca="1" si="80"/>
        <v>80.62002902243745</v>
      </c>
      <c r="DJ94" s="51">
        <v>11</v>
      </c>
      <c r="DL94" s="60">
        <v>12</v>
      </c>
      <c r="DM94" s="60">
        <f t="shared" ca="1" si="81"/>
        <v>368.32979166666667</v>
      </c>
      <c r="DN94" s="60">
        <f t="shared" si="82"/>
        <v>669.40734771707537</v>
      </c>
      <c r="DO94" s="60">
        <f t="shared" ca="1" si="83"/>
        <v>301.0775560504087</v>
      </c>
      <c r="DP94" s="51">
        <v>11</v>
      </c>
      <c r="EG94" s="26"/>
      <c r="EH94" s="26">
        <v>100</v>
      </c>
      <c r="EI94" s="26">
        <v>111.4</v>
      </c>
      <c r="EJ94" s="26">
        <v>82</v>
      </c>
      <c r="EK94" s="26">
        <v>66.3</v>
      </c>
      <c r="EL94" s="26">
        <v>43.9</v>
      </c>
      <c r="EM94" s="26">
        <v>33.700000000000003</v>
      </c>
      <c r="EN94" s="26">
        <v>27.7</v>
      </c>
      <c r="EO94" s="26">
        <v>17</v>
      </c>
      <c r="EP94" s="26">
        <v>10.199999999999999</v>
      </c>
      <c r="EQ94" s="26">
        <v>6</v>
      </c>
      <c r="FF94" s="29">
        <v>90</v>
      </c>
      <c r="FG94" s="29">
        <f t="shared" si="48"/>
        <v>5.6548667764616276</v>
      </c>
      <c r="FH94" s="29">
        <f t="shared" si="50"/>
        <v>0.12366442431225799</v>
      </c>
      <c r="FI94" s="29">
        <f t="shared" si="51"/>
        <v>0.54270509831248415</v>
      </c>
      <c r="FJ94" s="29"/>
      <c r="FL94" s="29">
        <f t="shared" si="52"/>
        <v>0</v>
      </c>
      <c r="FM94" s="29">
        <f t="shared" si="53"/>
        <v>0</v>
      </c>
      <c r="FP94" s="29">
        <f t="shared" si="54"/>
        <v>0</v>
      </c>
      <c r="FQ94" s="29">
        <f t="shared" si="55"/>
        <v>0</v>
      </c>
      <c r="FT94" s="29">
        <f t="shared" si="62"/>
        <v>0.5</v>
      </c>
      <c r="FU94" s="29">
        <f t="shared" si="63"/>
        <v>8.450000000000002E-2</v>
      </c>
      <c r="GK94" s="51">
        <v>90</v>
      </c>
      <c r="GL94" s="51">
        <f t="shared" si="49"/>
        <v>5.6548667764616276</v>
      </c>
      <c r="GM94" s="51">
        <f t="shared" si="56"/>
        <v>0.12366442431225799</v>
      </c>
      <c r="GN94" s="51">
        <f t="shared" si="57"/>
        <v>0.54270509831248415</v>
      </c>
      <c r="GQ94" s="51">
        <f t="shared" si="58"/>
        <v>0</v>
      </c>
      <c r="GR94" s="51">
        <f t="shared" si="59"/>
        <v>0</v>
      </c>
      <c r="GU94" s="51">
        <f t="shared" si="60"/>
        <v>0</v>
      </c>
      <c r="GV94" s="51">
        <f t="shared" si="61"/>
        <v>0</v>
      </c>
      <c r="GY94" s="51">
        <f t="shared" si="64"/>
        <v>0.5</v>
      </c>
      <c r="GZ94" s="51">
        <f t="shared" si="65"/>
        <v>8.450000000000002E-2</v>
      </c>
    </row>
    <row r="95" spans="2:208">
      <c r="B95" s="9"/>
      <c r="C95" s="10"/>
      <c r="D95" s="10"/>
      <c r="E95" s="10"/>
      <c r="F95" s="11"/>
      <c r="G95" s="39"/>
      <c r="H95" s="37"/>
      <c r="I95" s="37"/>
      <c r="J95" s="37"/>
      <c r="K95" s="37"/>
      <c r="L95" s="37"/>
      <c r="M95" s="37"/>
      <c r="N95" s="37"/>
      <c r="O95" s="37"/>
      <c r="P95" s="37"/>
      <c r="Q95" s="37"/>
      <c r="R95" s="37"/>
      <c r="S95" s="37"/>
      <c r="T95" s="37"/>
      <c r="U95" s="41"/>
      <c r="V95" s="41"/>
      <c r="W95" s="41"/>
      <c r="X95" s="41"/>
      <c r="Y95" s="41"/>
      <c r="Z95" s="41"/>
      <c r="AA95" s="41"/>
      <c r="AB95" s="41"/>
      <c r="AC95" s="41"/>
      <c r="AD95" s="41"/>
      <c r="AE95" s="34"/>
      <c r="AF95" s="42"/>
      <c r="AG95" s="41"/>
      <c r="AH95" s="41"/>
      <c r="AI95" s="41"/>
      <c r="AJ95" s="43"/>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33"/>
      <c r="CH95" s="33">
        <v>13</v>
      </c>
      <c r="CI95" s="33">
        <f t="shared" ca="1" si="66"/>
        <v>57.690208333333331</v>
      </c>
      <c r="CJ95" s="33">
        <f t="shared" si="67"/>
        <v>15.722676401441417</v>
      </c>
      <c r="CK95" s="33">
        <f t="shared" ca="1" si="68"/>
        <v>0</v>
      </c>
      <c r="CL95" s="29">
        <v>12</v>
      </c>
      <c r="CN95" s="33">
        <v>13</v>
      </c>
      <c r="CO95" s="33">
        <f t="shared" ca="1" si="69"/>
        <v>71.00333333333333</v>
      </c>
      <c r="CP95" s="33">
        <f t="shared" si="70"/>
        <v>42.919286318112576</v>
      </c>
      <c r="CQ95" s="33">
        <f t="shared" ca="1" si="71"/>
        <v>0</v>
      </c>
      <c r="CR95" s="29">
        <v>12</v>
      </c>
      <c r="CT95" s="33">
        <v>13</v>
      </c>
      <c r="CU95" s="33">
        <f t="shared" ca="1" si="72"/>
        <v>97.629583333333329</v>
      </c>
      <c r="CV95" s="33">
        <f t="shared" si="73"/>
        <v>87.29943959122798</v>
      </c>
      <c r="CW95" s="33">
        <f t="shared" ca="1" si="74"/>
        <v>0</v>
      </c>
      <c r="CX95" s="29">
        <v>12</v>
      </c>
      <c r="CZ95" s="33">
        <v>13</v>
      </c>
      <c r="DA95" s="33">
        <f t="shared" ca="1" si="75"/>
        <v>142.00666666666666</v>
      </c>
      <c r="DB95" s="33">
        <f t="shared" si="76"/>
        <v>178.58113585265681</v>
      </c>
      <c r="DC95" s="33">
        <f t="shared" ca="1" si="77"/>
        <v>36.574469185990154</v>
      </c>
      <c r="DD95" s="29">
        <v>12</v>
      </c>
      <c r="DF95" s="60">
        <v>13</v>
      </c>
      <c r="DG95" s="60">
        <f t="shared" ca="1" si="78"/>
        <v>235.19854166666664</v>
      </c>
      <c r="DH95" s="60">
        <f t="shared" si="79"/>
        <v>311.68515454214139</v>
      </c>
      <c r="DI95" s="60">
        <f t="shared" ca="1" si="80"/>
        <v>76.486612875474748</v>
      </c>
      <c r="DJ95" s="51">
        <v>12</v>
      </c>
      <c r="DL95" s="60">
        <v>13</v>
      </c>
      <c r="DM95" s="60">
        <f t="shared" ca="1" si="81"/>
        <v>372.76749999999998</v>
      </c>
      <c r="DN95" s="60">
        <f t="shared" si="82"/>
        <v>669.85614632256124</v>
      </c>
      <c r="DO95" s="60">
        <f t="shared" ca="1" si="83"/>
        <v>297.08864632256126</v>
      </c>
      <c r="DP95" s="51">
        <v>12</v>
      </c>
      <c r="EG95" s="26"/>
      <c r="EH95" s="26">
        <v>500</v>
      </c>
      <c r="EI95" s="26">
        <v>150.69999999999999</v>
      </c>
      <c r="EJ95" s="26">
        <v>112.6</v>
      </c>
      <c r="EK95" s="26">
        <v>92</v>
      </c>
      <c r="EL95" s="26">
        <v>61.9</v>
      </c>
      <c r="EM95" s="26">
        <v>47.8</v>
      </c>
      <c r="EN95" s="26">
        <v>39.4</v>
      </c>
      <c r="EO95" s="26">
        <v>24.4</v>
      </c>
      <c r="EP95" s="26">
        <v>14.8</v>
      </c>
      <c r="EQ95" s="26">
        <v>7</v>
      </c>
      <c r="FF95" s="29">
        <v>91</v>
      </c>
      <c r="FG95" s="29">
        <f t="shared" si="48"/>
        <v>5.717698629533424</v>
      </c>
      <c r="FH95" s="29">
        <f t="shared" si="50"/>
        <v>0.13925196150630109</v>
      </c>
      <c r="FI95" s="29">
        <f t="shared" si="51"/>
        <v>0.55329837765060463</v>
      </c>
      <c r="FJ95" s="29"/>
      <c r="FL95" s="29">
        <f t="shared" si="52"/>
        <v>0</v>
      </c>
      <c r="FM95" s="29">
        <f t="shared" si="53"/>
        <v>0</v>
      </c>
      <c r="FP95" s="29">
        <f t="shared" si="54"/>
        <v>0</v>
      </c>
      <c r="FQ95" s="29">
        <f t="shared" si="55"/>
        <v>0</v>
      </c>
      <c r="FT95" s="29">
        <f t="shared" si="62"/>
        <v>0.5</v>
      </c>
      <c r="FU95" s="29">
        <f t="shared" si="63"/>
        <v>8.450000000000002E-2</v>
      </c>
      <c r="GK95" s="51">
        <v>91</v>
      </c>
      <c r="GL95" s="51">
        <f t="shared" si="49"/>
        <v>5.717698629533424</v>
      </c>
      <c r="GM95" s="51">
        <f t="shared" si="56"/>
        <v>0.13925196150630109</v>
      </c>
      <c r="GN95" s="51">
        <f t="shared" si="57"/>
        <v>0.55329837765060463</v>
      </c>
      <c r="GQ95" s="51">
        <f t="shared" si="58"/>
        <v>0</v>
      </c>
      <c r="GR95" s="51">
        <f t="shared" si="59"/>
        <v>0</v>
      </c>
      <c r="GU95" s="51">
        <f t="shared" si="60"/>
        <v>0</v>
      </c>
      <c r="GV95" s="51">
        <f t="shared" si="61"/>
        <v>0</v>
      </c>
      <c r="GY95" s="51">
        <f t="shared" si="64"/>
        <v>0.5</v>
      </c>
      <c r="GZ95" s="51">
        <f t="shared" si="65"/>
        <v>8.450000000000002E-2</v>
      </c>
    </row>
    <row r="96" spans="2:208">
      <c r="B96" s="9"/>
      <c r="C96" s="10"/>
      <c r="D96" s="10"/>
      <c r="E96" s="10"/>
      <c r="F96" s="11"/>
      <c r="G96" s="39"/>
      <c r="H96" s="37"/>
      <c r="I96" s="37"/>
      <c r="J96" s="37"/>
      <c r="K96" s="37"/>
      <c r="L96" s="37"/>
      <c r="M96" s="37"/>
      <c r="N96" s="37"/>
      <c r="O96" s="37"/>
      <c r="P96" s="37"/>
      <c r="Q96" s="37"/>
      <c r="R96" s="37"/>
      <c r="S96" s="37"/>
      <c r="T96" s="37"/>
      <c r="U96" s="41"/>
      <c r="V96" s="41"/>
      <c r="W96" s="41"/>
      <c r="X96" s="41"/>
      <c r="Y96" s="41"/>
      <c r="Z96" s="41"/>
      <c r="AA96" s="41"/>
      <c r="AB96" s="41"/>
      <c r="AC96" s="41"/>
      <c r="AD96" s="41"/>
      <c r="AE96" s="34"/>
      <c r="AF96" s="42"/>
      <c r="AG96" s="41"/>
      <c r="AH96" s="41"/>
      <c r="AI96" s="41"/>
      <c r="AJ96" s="43"/>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33"/>
      <c r="CH96" s="33">
        <v>14</v>
      </c>
      <c r="CI96" s="33">
        <f t="shared" ca="1" si="66"/>
        <v>62.127916666666664</v>
      </c>
      <c r="CJ96" s="33">
        <f t="shared" si="67"/>
        <v>15.77363228077941</v>
      </c>
      <c r="CK96" s="33">
        <f t="shared" ca="1" si="68"/>
        <v>0</v>
      </c>
      <c r="CL96" s="29">
        <v>13</v>
      </c>
      <c r="CN96" s="33">
        <v>14</v>
      </c>
      <c r="CO96" s="33">
        <f t="shared" ca="1" si="69"/>
        <v>75.441041666666663</v>
      </c>
      <c r="CP96" s="33">
        <f t="shared" si="70"/>
        <v>43.012250923348709</v>
      </c>
      <c r="CQ96" s="33">
        <f t="shared" ca="1" si="71"/>
        <v>0</v>
      </c>
      <c r="CR96" s="29">
        <v>13</v>
      </c>
      <c r="CT96" s="33">
        <v>14</v>
      </c>
      <c r="CU96" s="33">
        <f t="shared" ca="1" si="72"/>
        <v>102.06729166666666</v>
      </c>
      <c r="CV96" s="33">
        <f t="shared" si="73"/>
        <v>87.441437898732744</v>
      </c>
      <c r="CW96" s="33">
        <f t="shared" ca="1" si="74"/>
        <v>0</v>
      </c>
      <c r="CX96" s="29">
        <v>13</v>
      </c>
      <c r="CZ96" s="33">
        <v>14</v>
      </c>
      <c r="DA96" s="33">
        <f t="shared" ca="1" si="75"/>
        <v>146.44437499999998</v>
      </c>
      <c r="DB96" s="33">
        <f t="shared" si="76"/>
        <v>178.79951335878627</v>
      </c>
      <c r="DC96" s="33">
        <f t="shared" ca="1" si="77"/>
        <v>32.355138358786292</v>
      </c>
      <c r="DD96" s="29">
        <v>13</v>
      </c>
      <c r="DF96" s="60">
        <v>14</v>
      </c>
      <c r="DG96" s="60">
        <f t="shared" ca="1" si="78"/>
        <v>239.63624999999999</v>
      </c>
      <c r="DH96" s="60">
        <f t="shared" si="79"/>
        <v>311.98944672851206</v>
      </c>
      <c r="DI96" s="60">
        <f t="shared" ca="1" si="80"/>
        <v>72.353196728512074</v>
      </c>
      <c r="DJ96" s="51">
        <v>13</v>
      </c>
      <c r="DL96" s="60">
        <v>14</v>
      </c>
      <c r="DM96" s="60">
        <f t="shared" ca="1" si="81"/>
        <v>377.2052083333333</v>
      </c>
      <c r="DN96" s="60">
        <f t="shared" si="82"/>
        <v>670.30494492804723</v>
      </c>
      <c r="DO96" s="60">
        <f t="shared" ca="1" si="83"/>
        <v>293.09973659471393</v>
      </c>
      <c r="DP96" s="51">
        <v>13</v>
      </c>
      <c r="EG96" s="26"/>
      <c r="EH96" s="26">
        <v>1000</v>
      </c>
      <c r="EI96" s="26">
        <v>171.6</v>
      </c>
      <c r="EJ96" s="26">
        <v>129</v>
      </c>
      <c r="EK96" s="26">
        <v>106</v>
      </c>
      <c r="EL96" s="26">
        <v>71.8</v>
      </c>
      <c r="EM96" s="26">
        <v>55.5</v>
      </c>
      <c r="EN96" s="26">
        <v>45.9</v>
      </c>
      <c r="EO96" s="26">
        <v>28.5</v>
      </c>
      <c r="EP96" s="26">
        <v>17.3</v>
      </c>
      <c r="EQ96" s="26">
        <v>10</v>
      </c>
      <c r="FF96" s="29">
        <v>92</v>
      </c>
      <c r="FG96" s="29">
        <f t="shared" si="48"/>
        <v>5.7805304826052195</v>
      </c>
      <c r="FH96" s="29">
        <f t="shared" si="50"/>
        <v>0.15547389776948539</v>
      </c>
      <c r="FI96" s="29">
        <f t="shared" si="51"/>
        <v>0.56289200401315909</v>
      </c>
      <c r="FJ96" s="29"/>
      <c r="FL96" s="29">
        <f t="shared" si="52"/>
        <v>0</v>
      </c>
      <c r="FM96" s="29">
        <f t="shared" si="53"/>
        <v>0</v>
      </c>
      <c r="FP96" s="29">
        <f t="shared" si="54"/>
        <v>0</v>
      </c>
      <c r="FQ96" s="29">
        <f t="shared" si="55"/>
        <v>0</v>
      </c>
      <c r="FT96" s="29">
        <f t="shared" si="62"/>
        <v>0.5</v>
      </c>
      <c r="FU96" s="29">
        <f t="shared" si="63"/>
        <v>8.450000000000002E-2</v>
      </c>
      <c r="GK96" s="51">
        <v>92</v>
      </c>
      <c r="GL96" s="51">
        <f t="shared" si="49"/>
        <v>5.7805304826052195</v>
      </c>
      <c r="GM96" s="51">
        <f t="shared" si="56"/>
        <v>0.15547389776948539</v>
      </c>
      <c r="GN96" s="51">
        <f t="shared" si="57"/>
        <v>0.56289200401315909</v>
      </c>
      <c r="GQ96" s="51">
        <f t="shared" si="58"/>
        <v>0</v>
      </c>
      <c r="GR96" s="51">
        <f t="shared" si="59"/>
        <v>0</v>
      </c>
      <c r="GU96" s="51">
        <f t="shared" si="60"/>
        <v>0</v>
      </c>
      <c r="GV96" s="51">
        <f t="shared" si="61"/>
        <v>0</v>
      </c>
      <c r="GY96" s="51">
        <f t="shared" si="64"/>
        <v>0.5</v>
      </c>
      <c r="GZ96" s="51">
        <f t="shared" si="65"/>
        <v>8.450000000000002E-2</v>
      </c>
    </row>
    <row r="97" spans="2:208">
      <c r="B97" s="9"/>
      <c r="C97" s="10"/>
      <c r="D97" s="10"/>
      <c r="E97" s="10"/>
      <c r="F97" s="11"/>
      <c r="G97" s="39"/>
      <c r="H97" s="37"/>
      <c r="I97" s="37"/>
      <c r="J97" s="37"/>
      <c r="K97" s="37"/>
      <c r="L97" s="37"/>
      <c r="M97" s="37"/>
      <c r="N97" s="37"/>
      <c r="O97" s="37"/>
      <c r="P97" s="37"/>
      <c r="Q97" s="37"/>
      <c r="R97" s="37"/>
      <c r="S97" s="37"/>
      <c r="T97" s="37"/>
      <c r="U97" s="41"/>
      <c r="V97" s="41"/>
      <c r="W97" s="41"/>
      <c r="X97" s="41"/>
      <c r="Y97" s="41"/>
      <c r="Z97" s="41"/>
      <c r="AA97" s="41"/>
      <c r="AB97" s="41"/>
      <c r="AC97" s="41"/>
      <c r="AD97" s="41"/>
      <c r="AE97" s="34"/>
      <c r="AF97" s="42"/>
      <c r="AG97" s="41"/>
      <c r="AH97" s="41"/>
      <c r="AI97" s="41"/>
      <c r="AJ97" s="43"/>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33"/>
      <c r="CH97" s="33">
        <v>15</v>
      </c>
      <c r="CI97" s="33">
        <f t="shared" ca="1" si="66"/>
        <v>66.565624999999997</v>
      </c>
      <c r="CJ97" s="33">
        <f t="shared" si="67"/>
        <v>15.824588160117399</v>
      </c>
      <c r="CK97" s="33">
        <f t="shared" ca="1" si="68"/>
        <v>0</v>
      </c>
      <c r="CL97" s="29">
        <v>14</v>
      </c>
      <c r="CN97" s="33">
        <v>15</v>
      </c>
      <c r="CO97" s="33">
        <f t="shared" ca="1" si="69"/>
        <v>79.878749999999997</v>
      </c>
      <c r="CP97" s="33">
        <f t="shared" si="70"/>
        <v>43.10521552858485</v>
      </c>
      <c r="CQ97" s="33">
        <f t="shared" ca="1" si="71"/>
        <v>0</v>
      </c>
      <c r="CR97" s="29">
        <v>14</v>
      </c>
      <c r="CT97" s="33">
        <v>15</v>
      </c>
      <c r="CU97" s="33">
        <f t="shared" ca="1" si="72"/>
        <v>106.505</v>
      </c>
      <c r="CV97" s="33">
        <f t="shared" si="73"/>
        <v>87.583436206237508</v>
      </c>
      <c r="CW97" s="33">
        <f t="shared" ca="1" si="74"/>
        <v>0</v>
      </c>
      <c r="CX97" s="29">
        <v>14</v>
      </c>
      <c r="CZ97" s="33">
        <v>15</v>
      </c>
      <c r="DA97" s="33">
        <f t="shared" ca="1" si="75"/>
        <v>150.88208333333333</v>
      </c>
      <c r="DB97" s="33">
        <f t="shared" si="76"/>
        <v>179.01789086491573</v>
      </c>
      <c r="DC97" s="33">
        <f t="shared" ca="1" si="77"/>
        <v>28.135807531582401</v>
      </c>
      <c r="DD97" s="29">
        <v>14</v>
      </c>
      <c r="DF97" s="60">
        <v>15</v>
      </c>
      <c r="DG97" s="60">
        <f t="shared" ca="1" si="78"/>
        <v>244.07395833333334</v>
      </c>
      <c r="DH97" s="60">
        <f t="shared" si="79"/>
        <v>312.29373891488274</v>
      </c>
      <c r="DI97" s="60">
        <f t="shared" ca="1" si="80"/>
        <v>68.219780581549401</v>
      </c>
      <c r="DJ97" s="51">
        <v>14</v>
      </c>
      <c r="DL97" s="60">
        <v>15</v>
      </c>
      <c r="DM97" s="60">
        <f t="shared" ca="1" si="81"/>
        <v>381.64291666666668</v>
      </c>
      <c r="DN97" s="60">
        <f t="shared" si="82"/>
        <v>670.75374353353322</v>
      </c>
      <c r="DO97" s="60">
        <f t="shared" ca="1" si="83"/>
        <v>289.11082686686655</v>
      </c>
      <c r="DP97" s="51">
        <v>14</v>
      </c>
      <c r="EP97" s="25"/>
      <c r="EQ97" s="25"/>
      <c r="FF97" s="29">
        <v>93</v>
      </c>
      <c r="FG97" s="29">
        <f t="shared" si="48"/>
        <v>5.8433623356770159</v>
      </c>
      <c r="FH97" s="29">
        <f t="shared" si="50"/>
        <v>0.17226621253047833</v>
      </c>
      <c r="FI97" s="29">
        <f t="shared" si="51"/>
        <v>0.57144811573980592</v>
      </c>
      <c r="FJ97" s="29"/>
      <c r="FL97" s="29">
        <f t="shared" si="52"/>
        <v>0</v>
      </c>
      <c r="FM97" s="29">
        <f t="shared" si="53"/>
        <v>0</v>
      </c>
      <c r="FP97" s="29">
        <f t="shared" si="54"/>
        <v>0</v>
      </c>
      <c r="FQ97" s="29">
        <f t="shared" si="55"/>
        <v>0</v>
      </c>
      <c r="FT97" s="29">
        <f t="shared" si="62"/>
        <v>0.5</v>
      </c>
      <c r="FU97" s="29">
        <f t="shared" si="63"/>
        <v>8.450000000000002E-2</v>
      </c>
      <c r="GK97" s="51">
        <v>93</v>
      </c>
      <c r="GL97" s="51">
        <f t="shared" si="49"/>
        <v>5.8433623356770159</v>
      </c>
      <c r="GM97" s="51">
        <f t="shared" si="56"/>
        <v>0.17226621253047833</v>
      </c>
      <c r="GN97" s="51">
        <f t="shared" si="57"/>
        <v>0.57144811573980592</v>
      </c>
      <c r="GQ97" s="51">
        <f t="shared" si="58"/>
        <v>0</v>
      </c>
      <c r="GR97" s="51">
        <f t="shared" si="59"/>
        <v>0</v>
      </c>
      <c r="GU97" s="51">
        <f t="shared" si="60"/>
        <v>0</v>
      </c>
      <c r="GV97" s="51">
        <f t="shared" si="61"/>
        <v>0</v>
      </c>
      <c r="GY97" s="51">
        <f t="shared" si="64"/>
        <v>0.5</v>
      </c>
      <c r="GZ97" s="51">
        <f t="shared" si="65"/>
        <v>8.450000000000002E-2</v>
      </c>
    </row>
    <row r="98" spans="2:208">
      <c r="B98" s="9"/>
      <c r="C98" s="10"/>
      <c r="D98" s="10"/>
      <c r="E98" s="10"/>
      <c r="F98" s="11"/>
      <c r="G98" s="39"/>
      <c r="H98" s="37"/>
      <c r="I98" s="37"/>
      <c r="J98" s="37"/>
      <c r="K98" s="37"/>
      <c r="L98" s="37"/>
      <c r="M98" s="37"/>
      <c r="N98" s="37"/>
      <c r="O98" s="37"/>
      <c r="P98" s="37"/>
      <c r="Q98" s="37"/>
      <c r="R98" s="37"/>
      <c r="S98" s="37"/>
      <c r="T98" s="37"/>
      <c r="U98" s="41"/>
      <c r="V98" s="41"/>
      <c r="W98" s="41"/>
      <c r="X98" s="41"/>
      <c r="Y98" s="41"/>
      <c r="Z98" s="41"/>
      <c r="AA98" s="41"/>
      <c r="AB98" s="41"/>
      <c r="AC98" s="41"/>
      <c r="AD98" s="41"/>
      <c r="AE98" s="34"/>
      <c r="AF98" s="42"/>
      <c r="AG98" s="41"/>
      <c r="AH98" s="41"/>
      <c r="AI98" s="41"/>
      <c r="AJ98" s="43"/>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33"/>
      <c r="CH98" s="33">
        <v>16</v>
      </c>
      <c r="CI98" s="33">
        <f t="shared" ca="1" si="66"/>
        <v>71.00333333333333</v>
      </c>
      <c r="CJ98" s="33">
        <f t="shared" si="67"/>
        <v>15.875544039455391</v>
      </c>
      <c r="CK98" s="33">
        <f t="shared" ca="1" si="68"/>
        <v>0</v>
      </c>
      <c r="CL98" s="29">
        <v>15</v>
      </c>
      <c r="CN98" s="33">
        <v>16</v>
      </c>
      <c r="CO98" s="33">
        <f t="shared" ca="1" si="69"/>
        <v>84.31645833333333</v>
      </c>
      <c r="CP98" s="33">
        <f t="shared" si="70"/>
        <v>43.198180133820983</v>
      </c>
      <c r="CQ98" s="33">
        <f t="shared" ca="1" si="71"/>
        <v>0</v>
      </c>
      <c r="CR98" s="29">
        <v>15</v>
      </c>
      <c r="CT98" s="33">
        <v>16</v>
      </c>
      <c r="CU98" s="33">
        <f t="shared" ca="1" si="72"/>
        <v>110.94270833333333</v>
      </c>
      <c r="CV98" s="33">
        <f t="shared" si="73"/>
        <v>87.725434513742286</v>
      </c>
      <c r="CW98" s="33">
        <f t="shared" ca="1" si="74"/>
        <v>0</v>
      </c>
      <c r="CX98" s="29">
        <v>15</v>
      </c>
      <c r="CZ98" s="33">
        <v>16</v>
      </c>
      <c r="DA98" s="33">
        <f t="shared" ca="1" si="75"/>
        <v>155.31979166666667</v>
      </c>
      <c r="DB98" s="33">
        <f t="shared" si="76"/>
        <v>179.23626837104518</v>
      </c>
      <c r="DC98" s="33">
        <f t="shared" ca="1" si="77"/>
        <v>23.91647670437851</v>
      </c>
      <c r="DD98" s="29">
        <v>15</v>
      </c>
      <c r="DF98" s="60">
        <v>16</v>
      </c>
      <c r="DG98" s="60">
        <f t="shared" ca="1" si="78"/>
        <v>248.51166666666666</v>
      </c>
      <c r="DH98" s="60">
        <f t="shared" si="79"/>
        <v>312.59803110125335</v>
      </c>
      <c r="DI98" s="60">
        <f t="shared" ca="1" si="80"/>
        <v>64.086364434586699</v>
      </c>
      <c r="DJ98" s="51">
        <v>15</v>
      </c>
      <c r="DL98" s="60">
        <v>16</v>
      </c>
      <c r="DM98" s="60">
        <f t="shared" ca="1" si="81"/>
        <v>386.080625</v>
      </c>
      <c r="DN98" s="60">
        <f t="shared" si="82"/>
        <v>671.20254213901922</v>
      </c>
      <c r="DO98" s="60">
        <f t="shared" ca="1" si="83"/>
        <v>285.12191713901922</v>
      </c>
      <c r="DP98" s="51">
        <v>15</v>
      </c>
      <c r="EP98" s="25"/>
      <c r="EQ98" s="25"/>
      <c r="FF98" s="29">
        <v>94</v>
      </c>
      <c r="FG98" s="29">
        <f t="shared" si="48"/>
        <v>5.9061941887488105</v>
      </c>
      <c r="FH98" s="29">
        <f t="shared" si="50"/>
        <v>0.1895626341945964</v>
      </c>
      <c r="FI98" s="29">
        <f t="shared" si="51"/>
        <v>0.57893294576647536</v>
      </c>
      <c r="FJ98" s="29"/>
      <c r="FL98" s="29">
        <f t="shared" si="52"/>
        <v>0</v>
      </c>
      <c r="FM98" s="29">
        <f t="shared" si="53"/>
        <v>0</v>
      </c>
      <c r="FP98" s="29">
        <f t="shared" si="54"/>
        <v>0</v>
      </c>
      <c r="FQ98" s="29">
        <f t="shared" si="55"/>
        <v>0</v>
      </c>
      <c r="FT98" s="29">
        <f t="shared" si="62"/>
        <v>0.5</v>
      </c>
      <c r="FU98" s="29">
        <f t="shared" si="63"/>
        <v>8.450000000000002E-2</v>
      </c>
      <c r="GK98" s="51">
        <v>94</v>
      </c>
      <c r="GL98" s="51">
        <f t="shared" si="49"/>
        <v>5.9061941887488105</v>
      </c>
      <c r="GM98" s="51">
        <f t="shared" si="56"/>
        <v>0.1895626341945964</v>
      </c>
      <c r="GN98" s="51">
        <f t="shared" si="57"/>
        <v>0.57893294576647536</v>
      </c>
      <c r="GQ98" s="51">
        <f t="shared" si="58"/>
        <v>0</v>
      </c>
      <c r="GR98" s="51">
        <f t="shared" si="59"/>
        <v>0</v>
      </c>
      <c r="GU98" s="51">
        <f t="shared" si="60"/>
        <v>0</v>
      </c>
      <c r="GV98" s="51">
        <f t="shared" si="61"/>
        <v>0</v>
      </c>
      <c r="GY98" s="51">
        <f t="shared" si="64"/>
        <v>0.5</v>
      </c>
      <c r="GZ98" s="51">
        <f t="shared" si="65"/>
        <v>8.450000000000002E-2</v>
      </c>
    </row>
    <row r="99" spans="2:208">
      <c r="B99" s="9"/>
      <c r="C99" s="10"/>
      <c r="D99" s="10"/>
      <c r="E99" s="10"/>
      <c r="F99" s="11"/>
      <c r="G99" s="39"/>
      <c r="H99" s="37"/>
      <c r="I99" s="37"/>
      <c r="J99" s="37"/>
      <c r="K99" s="37"/>
      <c r="L99" s="37"/>
      <c r="M99" s="37"/>
      <c r="N99" s="37"/>
      <c r="O99" s="37"/>
      <c r="P99" s="37"/>
      <c r="Q99" s="37"/>
      <c r="R99" s="37"/>
      <c r="S99" s="37"/>
      <c r="T99" s="37"/>
      <c r="U99" s="41"/>
      <c r="V99" s="41"/>
      <c r="W99" s="41"/>
      <c r="X99" s="41"/>
      <c r="Y99" s="41"/>
      <c r="Z99" s="41"/>
      <c r="AA99" s="41"/>
      <c r="AB99" s="41"/>
      <c r="AC99" s="41"/>
      <c r="AD99" s="41"/>
      <c r="AE99" s="34"/>
      <c r="AF99" s="42"/>
      <c r="AG99" s="41"/>
      <c r="AH99" s="41"/>
      <c r="AI99" s="41"/>
      <c r="AJ99" s="43"/>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33"/>
      <c r="CH99" s="33">
        <v>17</v>
      </c>
      <c r="CI99" s="33">
        <f t="shared" ca="1" si="66"/>
        <v>75.441041666666663</v>
      </c>
      <c r="CJ99" s="33">
        <f t="shared" si="67"/>
        <v>15.926499918793386</v>
      </c>
      <c r="CK99" s="33">
        <f t="shared" ca="1" si="68"/>
        <v>0</v>
      </c>
      <c r="CL99" s="29">
        <v>16</v>
      </c>
      <c r="CN99" s="33">
        <v>17</v>
      </c>
      <c r="CO99" s="33">
        <f t="shared" ca="1" si="69"/>
        <v>88.754166666666663</v>
      </c>
      <c r="CP99" s="33">
        <f t="shared" si="70"/>
        <v>43.291144739057117</v>
      </c>
      <c r="CQ99" s="33">
        <f t="shared" ca="1" si="71"/>
        <v>0</v>
      </c>
      <c r="CR99" s="29">
        <v>16</v>
      </c>
      <c r="CT99" s="33">
        <v>17</v>
      </c>
      <c r="CU99" s="33">
        <f t="shared" ca="1" si="72"/>
        <v>115.38041666666666</v>
      </c>
      <c r="CV99" s="33">
        <f t="shared" si="73"/>
        <v>87.86743282124705</v>
      </c>
      <c r="CW99" s="33">
        <f t="shared" ca="1" si="74"/>
        <v>0</v>
      </c>
      <c r="CX99" s="29">
        <v>16</v>
      </c>
      <c r="CZ99" s="33">
        <v>17</v>
      </c>
      <c r="DA99" s="33">
        <f t="shared" ca="1" si="75"/>
        <v>159.75749999999999</v>
      </c>
      <c r="DB99" s="33">
        <f t="shared" si="76"/>
        <v>179.45464587717467</v>
      </c>
      <c r="DC99" s="33">
        <f t="shared" ca="1" si="77"/>
        <v>19.697145877174677</v>
      </c>
      <c r="DD99" s="29">
        <v>16</v>
      </c>
      <c r="DF99" s="60">
        <v>17</v>
      </c>
      <c r="DG99" s="60">
        <f t="shared" ca="1" si="78"/>
        <v>252.94937499999997</v>
      </c>
      <c r="DH99" s="60">
        <f t="shared" si="79"/>
        <v>312.90232328762397</v>
      </c>
      <c r="DI99" s="60">
        <f t="shared" ca="1" si="80"/>
        <v>59.952948287623997</v>
      </c>
      <c r="DJ99" s="51">
        <v>16</v>
      </c>
      <c r="DL99" s="60">
        <v>17</v>
      </c>
      <c r="DM99" s="60">
        <f t="shared" ca="1" si="81"/>
        <v>390.51833333333332</v>
      </c>
      <c r="DN99" s="60">
        <f t="shared" si="82"/>
        <v>671.65134074450521</v>
      </c>
      <c r="DO99" s="60">
        <f t="shared" ca="1" si="83"/>
        <v>281.13300741117189</v>
      </c>
      <c r="DP99" s="51">
        <v>16</v>
      </c>
      <c r="EG99" s="26" t="s">
        <v>36</v>
      </c>
      <c r="EH99" s="26" t="s">
        <v>16</v>
      </c>
      <c r="EI99" s="26" t="s">
        <v>37</v>
      </c>
      <c r="EJ99" s="26"/>
      <c r="EK99" s="26"/>
      <c r="EL99" s="26"/>
      <c r="EM99" s="26"/>
      <c r="EN99" s="26"/>
      <c r="EO99" s="26"/>
      <c r="EP99" s="26"/>
      <c r="EQ99" s="26"/>
      <c r="FF99" s="29">
        <v>95</v>
      </c>
      <c r="FG99" s="29">
        <f t="shared" si="48"/>
        <v>5.9690260418206069</v>
      </c>
      <c r="FH99" s="29">
        <f t="shared" si="50"/>
        <v>0.20729490168751569</v>
      </c>
      <c r="FI99" s="29">
        <f t="shared" si="51"/>
        <v>0.58531695488854596</v>
      </c>
      <c r="FJ99" s="29"/>
      <c r="FL99" s="29">
        <f t="shared" si="52"/>
        <v>0</v>
      </c>
      <c r="FM99" s="29">
        <f t="shared" si="53"/>
        <v>0</v>
      </c>
      <c r="FP99" s="29">
        <f t="shared" si="54"/>
        <v>0</v>
      </c>
      <c r="FQ99" s="29">
        <f t="shared" si="55"/>
        <v>0</v>
      </c>
      <c r="FT99" s="29">
        <f t="shared" si="62"/>
        <v>0.5</v>
      </c>
      <c r="FU99" s="29">
        <f t="shared" si="63"/>
        <v>8.450000000000002E-2</v>
      </c>
      <c r="GK99" s="51">
        <v>95</v>
      </c>
      <c r="GL99" s="51">
        <f t="shared" si="49"/>
        <v>5.9690260418206069</v>
      </c>
      <c r="GM99" s="51">
        <f t="shared" si="56"/>
        <v>0.20729490168751569</v>
      </c>
      <c r="GN99" s="51">
        <f t="shared" si="57"/>
        <v>0.58531695488854596</v>
      </c>
      <c r="GQ99" s="51">
        <f t="shared" si="58"/>
        <v>0</v>
      </c>
      <c r="GR99" s="51">
        <f t="shared" si="59"/>
        <v>0</v>
      </c>
      <c r="GU99" s="51">
        <f t="shared" si="60"/>
        <v>0</v>
      </c>
      <c r="GV99" s="51">
        <f t="shared" si="61"/>
        <v>0</v>
      </c>
      <c r="GY99" s="51">
        <f t="shared" si="64"/>
        <v>0.5</v>
      </c>
      <c r="GZ99" s="51">
        <f t="shared" si="65"/>
        <v>8.450000000000002E-2</v>
      </c>
    </row>
    <row r="100" spans="2:208">
      <c r="B100" s="9"/>
      <c r="C100" s="10"/>
      <c r="D100" s="10"/>
      <c r="E100" s="10"/>
      <c r="F100" s="11"/>
      <c r="G100" s="39"/>
      <c r="H100" s="37"/>
      <c r="I100" s="37"/>
      <c r="J100" s="37"/>
      <c r="K100" s="37"/>
      <c r="L100" s="37"/>
      <c r="M100" s="37"/>
      <c r="N100" s="37"/>
      <c r="O100" s="37"/>
      <c r="P100" s="37"/>
      <c r="Q100" s="37"/>
      <c r="R100" s="37"/>
      <c r="S100" s="37"/>
      <c r="T100" s="37"/>
      <c r="U100" s="41"/>
      <c r="V100" s="41"/>
      <c r="W100" s="41"/>
      <c r="X100" s="41"/>
      <c r="Y100" s="41"/>
      <c r="Z100" s="41"/>
      <c r="AA100" s="41"/>
      <c r="AB100" s="41"/>
      <c r="AC100" s="41"/>
      <c r="AD100" s="41"/>
      <c r="AE100" s="34"/>
      <c r="AF100" s="42"/>
      <c r="AG100" s="41"/>
      <c r="AH100" s="41"/>
      <c r="AI100" s="41"/>
      <c r="AJ100" s="43"/>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33"/>
      <c r="CH100" s="33">
        <v>18</v>
      </c>
      <c r="CI100" s="33">
        <f t="shared" ca="1" si="66"/>
        <v>79.878749999999997</v>
      </c>
      <c r="CJ100" s="33">
        <f t="shared" si="67"/>
        <v>15.977455798131379</v>
      </c>
      <c r="CK100" s="33">
        <f t="shared" ca="1" si="68"/>
        <v>0</v>
      </c>
      <c r="CL100" s="29">
        <v>17</v>
      </c>
      <c r="CN100" s="33">
        <v>18</v>
      </c>
      <c r="CO100" s="33">
        <f t="shared" ca="1" si="69"/>
        <v>93.191874999999996</v>
      </c>
      <c r="CP100" s="33">
        <f t="shared" si="70"/>
        <v>43.384109344293257</v>
      </c>
      <c r="CQ100" s="33">
        <f t="shared" ca="1" si="71"/>
        <v>0</v>
      </c>
      <c r="CR100" s="29">
        <v>17</v>
      </c>
      <c r="CT100" s="33">
        <v>18</v>
      </c>
      <c r="CU100" s="33">
        <f t="shared" ca="1" si="72"/>
        <v>119.81812499999999</v>
      </c>
      <c r="CV100" s="33">
        <f t="shared" si="73"/>
        <v>88.009431128751828</v>
      </c>
      <c r="CW100" s="33">
        <f t="shared" ca="1" si="74"/>
        <v>0</v>
      </c>
      <c r="CX100" s="29">
        <v>17</v>
      </c>
      <c r="CZ100" s="33">
        <v>18</v>
      </c>
      <c r="DA100" s="33">
        <f t="shared" ca="1" si="75"/>
        <v>164.19520833333331</v>
      </c>
      <c r="DB100" s="33">
        <f t="shared" si="76"/>
        <v>179.67302338330413</v>
      </c>
      <c r="DC100" s="33">
        <f t="shared" ca="1" si="77"/>
        <v>15.477815049970815</v>
      </c>
      <c r="DD100" s="29">
        <v>17</v>
      </c>
      <c r="DF100" s="60">
        <v>18</v>
      </c>
      <c r="DG100" s="60">
        <f t="shared" ca="1" si="78"/>
        <v>257.38708333333329</v>
      </c>
      <c r="DH100" s="60">
        <f t="shared" si="79"/>
        <v>313.20661547399459</v>
      </c>
      <c r="DI100" s="60">
        <f t="shared" ca="1" si="80"/>
        <v>55.819532140661295</v>
      </c>
      <c r="DJ100" s="51">
        <v>17</v>
      </c>
      <c r="DL100" s="60">
        <v>18</v>
      </c>
      <c r="DM100" s="60">
        <f t="shared" ca="1" si="81"/>
        <v>394.95604166666664</v>
      </c>
      <c r="DN100" s="60">
        <f t="shared" si="82"/>
        <v>672.10013934999108</v>
      </c>
      <c r="DO100" s="60">
        <f t="shared" ca="1" si="83"/>
        <v>277.14409768332445</v>
      </c>
      <c r="DP100" s="51">
        <v>17</v>
      </c>
      <c r="EG100" s="26"/>
      <c r="EH100" s="26"/>
      <c r="EI100" s="26">
        <v>5</v>
      </c>
      <c r="EJ100" s="26">
        <v>10</v>
      </c>
      <c r="EK100" s="26">
        <v>15</v>
      </c>
      <c r="EL100" s="26">
        <v>30</v>
      </c>
      <c r="EM100" s="26">
        <v>45</v>
      </c>
      <c r="EN100" s="26">
        <v>60</v>
      </c>
      <c r="EO100" s="26">
        <v>120</v>
      </c>
      <c r="EP100" s="26">
        <v>240</v>
      </c>
      <c r="EQ100" s="26">
        <v>480</v>
      </c>
      <c r="FF100" s="29">
        <v>96</v>
      </c>
      <c r="FG100" s="29">
        <f t="shared" si="48"/>
        <v>6.0318578948924024</v>
      </c>
      <c r="FH100" s="29">
        <f t="shared" si="50"/>
        <v>0.22539303385054338</v>
      </c>
      <c r="FI100" s="29">
        <f t="shared" si="51"/>
        <v>0.59057494833858926</v>
      </c>
      <c r="FJ100" s="29"/>
      <c r="FL100" s="29">
        <f t="shared" si="52"/>
        <v>0</v>
      </c>
      <c r="FM100" s="29">
        <f t="shared" si="53"/>
        <v>0</v>
      </c>
      <c r="FP100" s="29">
        <f t="shared" si="54"/>
        <v>0</v>
      </c>
      <c r="FQ100" s="29">
        <f t="shared" si="55"/>
        <v>0</v>
      </c>
      <c r="FT100" s="29">
        <f t="shared" si="62"/>
        <v>0.5</v>
      </c>
      <c r="FU100" s="29">
        <f t="shared" si="63"/>
        <v>8.450000000000002E-2</v>
      </c>
      <c r="GK100" s="51">
        <v>96</v>
      </c>
      <c r="GL100" s="51">
        <f t="shared" si="49"/>
        <v>6.0318578948924024</v>
      </c>
      <c r="GM100" s="51">
        <f t="shared" si="56"/>
        <v>0.22539303385054338</v>
      </c>
      <c r="GN100" s="51">
        <f t="shared" si="57"/>
        <v>0.59057494833858926</v>
      </c>
      <c r="GQ100" s="51">
        <f t="shared" si="58"/>
        <v>0</v>
      </c>
      <c r="GR100" s="51">
        <f t="shared" si="59"/>
        <v>0</v>
      </c>
      <c r="GU100" s="51">
        <f t="shared" si="60"/>
        <v>0</v>
      </c>
      <c r="GV100" s="51">
        <f t="shared" si="61"/>
        <v>0</v>
      </c>
      <c r="GY100" s="51">
        <f t="shared" si="64"/>
        <v>0.5</v>
      </c>
      <c r="GZ100" s="51">
        <f t="shared" si="65"/>
        <v>8.450000000000002E-2</v>
      </c>
    </row>
    <row r="101" spans="2:208">
      <c r="B101" s="9"/>
      <c r="C101" s="10"/>
      <c r="D101" s="10"/>
      <c r="E101" s="10"/>
      <c r="F101" s="11"/>
      <c r="G101" s="39"/>
      <c r="H101" s="37"/>
      <c r="I101" s="37"/>
      <c r="J101" s="37"/>
      <c r="K101" s="37"/>
      <c r="L101" s="37"/>
      <c r="M101" s="37"/>
      <c r="N101" s="37"/>
      <c r="O101" s="37"/>
      <c r="P101" s="37"/>
      <c r="Q101" s="37"/>
      <c r="R101" s="37"/>
      <c r="S101" s="37"/>
      <c r="T101" s="37"/>
      <c r="U101" s="41"/>
      <c r="V101" s="41"/>
      <c r="W101" s="41"/>
      <c r="X101" s="41"/>
      <c r="Y101" s="41"/>
      <c r="Z101" s="41"/>
      <c r="AA101" s="41"/>
      <c r="AB101" s="41"/>
      <c r="AC101" s="41"/>
      <c r="AD101" s="41"/>
      <c r="AE101" s="34"/>
      <c r="AF101" s="42"/>
      <c r="AG101" s="41"/>
      <c r="AH101" s="41"/>
      <c r="AI101" s="41"/>
      <c r="AJ101" s="43"/>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33"/>
      <c r="CH101" s="33">
        <v>19</v>
      </c>
      <c r="CI101" s="33">
        <f t="shared" ca="1" si="66"/>
        <v>84.31645833333333</v>
      </c>
      <c r="CJ101" s="33">
        <f t="shared" si="67"/>
        <v>16.028411677469368</v>
      </c>
      <c r="CK101" s="33">
        <f t="shared" ca="1" si="68"/>
        <v>0</v>
      </c>
      <c r="CL101" s="29">
        <v>18</v>
      </c>
      <c r="CN101" s="33">
        <v>19</v>
      </c>
      <c r="CO101" s="33">
        <f t="shared" ca="1" si="69"/>
        <v>97.629583333333329</v>
      </c>
      <c r="CP101" s="33">
        <f t="shared" si="70"/>
        <v>43.477073949529391</v>
      </c>
      <c r="CQ101" s="33">
        <f t="shared" ca="1" si="71"/>
        <v>0</v>
      </c>
      <c r="CR101" s="29">
        <v>18</v>
      </c>
      <c r="CT101" s="33">
        <v>19</v>
      </c>
      <c r="CU101" s="33">
        <f t="shared" ca="1" si="72"/>
        <v>124.25583333333333</v>
      </c>
      <c r="CV101" s="33">
        <f t="shared" si="73"/>
        <v>88.151429436256592</v>
      </c>
      <c r="CW101" s="33">
        <f t="shared" ca="1" si="74"/>
        <v>0</v>
      </c>
      <c r="CX101" s="29">
        <v>18</v>
      </c>
      <c r="CZ101" s="33">
        <v>19</v>
      </c>
      <c r="DA101" s="33">
        <f t="shared" ca="1" si="75"/>
        <v>168.63291666666666</v>
      </c>
      <c r="DB101" s="33">
        <f t="shared" si="76"/>
        <v>179.89140088943356</v>
      </c>
      <c r="DC101" s="33">
        <f t="shared" ca="1" si="77"/>
        <v>11.258484222766896</v>
      </c>
      <c r="DD101" s="29">
        <v>18</v>
      </c>
      <c r="DF101" s="60">
        <v>19</v>
      </c>
      <c r="DG101" s="60">
        <f t="shared" ca="1" si="78"/>
        <v>261.82479166666667</v>
      </c>
      <c r="DH101" s="60">
        <f t="shared" si="79"/>
        <v>313.51090766036526</v>
      </c>
      <c r="DI101" s="60">
        <f t="shared" ca="1" si="80"/>
        <v>51.686115993698593</v>
      </c>
      <c r="DJ101" s="51">
        <v>18</v>
      </c>
      <c r="DL101" s="60">
        <v>19</v>
      </c>
      <c r="DM101" s="60">
        <f t="shared" ca="1" si="81"/>
        <v>399.39374999999995</v>
      </c>
      <c r="DN101" s="60">
        <f t="shared" si="82"/>
        <v>672.54893795547707</v>
      </c>
      <c r="DO101" s="60">
        <f t="shared" ca="1" si="83"/>
        <v>273.15518795547712</v>
      </c>
      <c r="DP101" s="51">
        <v>18</v>
      </c>
      <c r="EG101" s="26" t="s">
        <v>38</v>
      </c>
      <c r="EH101" s="26">
        <v>1</v>
      </c>
      <c r="EI101" s="26">
        <v>34.4</v>
      </c>
      <c r="EJ101" s="26">
        <v>25.7</v>
      </c>
      <c r="EK101" s="26">
        <v>21.2</v>
      </c>
      <c r="EL101" s="26">
        <v>15</v>
      </c>
      <c r="EM101" s="26">
        <v>12.2</v>
      </c>
      <c r="EN101" s="26">
        <v>10.6</v>
      </c>
      <c r="EO101" s="26">
        <v>7.5</v>
      </c>
      <c r="EP101" s="26">
        <v>5.3</v>
      </c>
      <c r="EQ101" s="26">
        <v>4</v>
      </c>
      <c r="FF101" s="29">
        <v>97</v>
      </c>
      <c r="FG101" s="29">
        <f t="shared" si="48"/>
        <v>6.0946897479641988</v>
      </c>
      <c r="FH101" s="29">
        <f t="shared" si="50"/>
        <v>0.24378560562428259</v>
      </c>
      <c r="FI101" s="29">
        <f t="shared" si="51"/>
        <v>0.59468617521860656</v>
      </c>
      <c r="FJ101" s="29"/>
      <c r="FL101" s="29">
        <f t="shared" si="52"/>
        <v>0</v>
      </c>
      <c r="FM101" s="29">
        <f t="shared" si="53"/>
        <v>0</v>
      </c>
      <c r="FP101" s="29">
        <f t="shared" si="54"/>
        <v>0</v>
      </c>
      <c r="FQ101" s="29">
        <f t="shared" si="55"/>
        <v>0</v>
      </c>
      <c r="FT101" s="29">
        <f t="shared" si="62"/>
        <v>0.5</v>
      </c>
      <c r="FU101" s="29">
        <f t="shared" si="63"/>
        <v>8.450000000000002E-2</v>
      </c>
      <c r="GK101" s="51">
        <v>97</v>
      </c>
      <c r="GL101" s="51">
        <f t="shared" si="49"/>
        <v>6.0946897479641988</v>
      </c>
      <c r="GM101" s="51">
        <f t="shared" si="56"/>
        <v>0.24378560562428259</v>
      </c>
      <c r="GN101" s="51">
        <f t="shared" si="57"/>
        <v>0.59468617521860656</v>
      </c>
      <c r="GQ101" s="51">
        <f t="shared" si="58"/>
        <v>0</v>
      </c>
      <c r="GR101" s="51">
        <f t="shared" si="59"/>
        <v>0</v>
      </c>
      <c r="GU101" s="51">
        <f t="shared" si="60"/>
        <v>0</v>
      </c>
      <c r="GV101" s="51">
        <f t="shared" si="61"/>
        <v>0</v>
      </c>
      <c r="GY101" s="51">
        <f t="shared" si="64"/>
        <v>0.5</v>
      </c>
      <c r="GZ101" s="51">
        <f t="shared" si="65"/>
        <v>8.450000000000002E-2</v>
      </c>
    </row>
    <row r="102" spans="2:208">
      <c r="B102" s="9"/>
      <c r="C102" s="10"/>
      <c r="D102" s="10"/>
      <c r="E102" s="10"/>
      <c r="F102" s="11"/>
      <c r="G102" s="39"/>
      <c r="H102" s="37"/>
      <c r="I102" s="37"/>
      <c r="J102" s="37"/>
      <c r="K102" s="37"/>
      <c r="L102" s="37"/>
      <c r="M102" s="37"/>
      <c r="N102" s="37"/>
      <c r="O102" s="37"/>
      <c r="P102" s="37"/>
      <c r="Q102" s="37"/>
      <c r="R102" s="37"/>
      <c r="S102" s="37"/>
      <c r="T102" s="37"/>
      <c r="U102" s="41"/>
      <c r="V102" s="41"/>
      <c r="W102" s="41"/>
      <c r="X102" s="41"/>
      <c r="Y102" s="41"/>
      <c r="Z102" s="41"/>
      <c r="AA102" s="41"/>
      <c r="AB102" s="41"/>
      <c r="AC102" s="41"/>
      <c r="AD102" s="41"/>
      <c r="AE102" s="34"/>
      <c r="AF102" s="42"/>
      <c r="AG102" s="41"/>
      <c r="AH102" s="41"/>
      <c r="AI102" s="41"/>
      <c r="AJ102" s="43"/>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33"/>
      <c r="CH102" s="33">
        <v>20</v>
      </c>
      <c r="CI102" s="33">
        <f t="shared" ca="1" si="66"/>
        <v>88.754166666666663</v>
      </c>
      <c r="CJ102" s="33">
        <f t="shared" si="67"/>
        <v>16.079367556807362</v>
      </c>
      <c r="CK102" s="33">
        <f t="shared" ca="1" si="68"/>
        <v>0</v>
      </c>
      <c r="CL102" s="29">
        <v>19</v>
      </c>
      <c r="CN102" s="33">
        <v>20</v>
      </c>
      <c r="CO102" s="33">
        <f t="shared" ca="1" si="69"/>
        <v>102.06729166666666</v>
      </c>
      <c r="CP102" s="33">
        <f t="shared" si="70"/>
        <v>43.570038554765524</v>
      </c>
      <c r="CQ102" s="33">
        <f t="shared" ca="1" si="71"/>
        <v>0</v>
      </c>
      <c r="CR102" s="29">
        <v>19</v>
      </c>
      <c r="CT102" s="33">
        <v>20</v>
      </c>
      <c r="CU102" s="33">
        <f t="shared" ca="1" si="72"/>
        <v>128.69354166666665</v>
      </c>
      <c r="CV102" s="33">
        <f t="shared" si="73"/>
        <v>88.29342774376137</v>
      </c>
      <c r="CW102" s="33">
        <f t="shared" ca="1" si="74"/>
        <v>0</v>
      </c>
      <c r="CX102" s="29">
        <v>19</v>
      </c>
      <c r="CZ102" s="33">
        <v>20</v>
      </c>
      <c r="DA102" s="33">
        <f t="shared" ca="1" si="75"/>
        <v>173.07062500000001</v>
      </c>
      <c r="DB102" s="33">
        <f t="shared" si="76"/>
        <v>180.10977839556298</v>
      </c>
      <c r="DC102" s="33">
        <f t="shared" ca="1" si="77"/>
        <v>7.0391533955629768</v>
      </c>
      <c r="DD102" s="29">
        <v>19</v>
      </c>
      <c r="DF102" s="60">
        <v>20</v>
      </c>
      <c r="DG102" s="60">
        <f t="shared" ca="1" si="78"/>
        <v>266.26249999999999</v>
      </c>
      <c r="DH102" s="60">
        <f t="shared" si="79"/>
        <v>313.81519984673588</v>
      </c>
      <c r="DI102" s="60">
        <f t="shared" ca="1" si="80"/>
        <v>47.552699846735891</v>
      </c>
      <c r="DJ102" s="51">
        <v>19</v>
      </c>
      <c r="DL102" s="60">
        <v>20</v>
      </c>
      <c r="DM102" s="60">
        <f t="shared" ca="1" si="81"/>
        <v>403.83145833333333</v>
      </c>
      <c r="DN102" s="60">
        <f t="shared" si="82"/>
        <v>672.99773656096306</v>
      </c>
      <c r="DO102" s="60">
        <f t="shared" ca="1" si="83"/>
        <v>269.16627822762973</v>
      </c>
      <c r="DP102" s="51">
        <v>19</v>
      </c>
      <c r="EG102" s="26">
        <v>17</v>
      </c>
      <c r="EH102" s="26">
        <v>2</v>
      </c>
      <c r="EI102" s="26">
        <v>40.6</v>
      </c>
      <c r="EJ102" s="26">
        <v>31.7</v>
      </c>
      <c r="EK102" s="26">
        <v>26.7</v>
      </c>
      <c r="EL102" s="26">
        <v>19.3</v>
      </c>
      <c r="EM102" s="26">
        <v>15.8</v>
      </c>
      <c r="EN102" s="26">
        <v>13.6</v>
      </c>
      <c r="EO102" s="26">
        <v>9.4</v>
      </c>
      <c r="EP102" s="26">
        <v>6.5</v>
      </c>
      <c r="EQ102" s="26">
        <v>4</v>
      </c>
      <c r="FF102" s="29">
        <v>98</v>
      </c>
      <c r="FG102" s="29">
        <f t="shared" si="48"/>
        <v>6.1575216010359943</v>
      </c>
      <c r="FH102" s="29">
        <f t="shared" si="50"/>
        <v>0.2624000299307086</v>
      </c>
      <c r="FI102" s="29">
        <f t="shared" si="51"/>
        <v>0.59763441039434329</v>
      </c>
      <c r="FJ102" s="29"/>
      <c r="FL102" s="29">
        <f t="shared" si="52"/>
        <v>0</v>
      </c>
      <c r="FM102" s="29">
        <f t="shared" si="53"/>
        <v>0</v>
      </c>
      <c r="FP102" s="29">
        <f t="shared" si="54"/>
        <v>0</v>
      </c>
      <c r="FQ102" s="29">
        <f t="shared" si="55"/>
        <v>0</v>
      </c>
      <c r="FT102" s="29">
        <f t="shared" si="62"/>
        <v>0.5</v>
      </c>
      <c r="FU102" s="29">
        <f t="shared" si="63"/>
        <v>8.450000000000002E-2</v>
      </c>
      <c r="GK102" s="51">
        <v>98</v>
      </c>
      <c r="GL102" s="51">
        <f t="shared" si="49"/>
        <v>6.1575216010359943</v>
      </c>
      <c r="GM102" s="51">
        <f t="shared" si="56"/>
        <v>0.2624000299307086</v>
      </c>
      <c r="GN102" s="51">
        <f t="shared" si="57"/>
        <v>0.59763441039434329</v>
      </c>
      <c r="GQ102" s="51">
        <f t="shared" si="58"/>
        <v>0</v>
      </c>
      <c r="GR102" s="51">
        <f t="shared" si="59"/>
        <v>0</v>
      </c>
      <c r="GU102" s="51">
        <f t="shared" si="60"/>
        <v>0</v>
      </c>
      <c r="GV102" s="51">
        <f t="shared" si="61"/>
        <v>0</v>
      </c>
      <c r="GY102" s="51">
        <f t="shared" si="64"/>
        <v>0.5</v>
      </c>
      <c r="GZ102" s="51">
        <f t="shared" si="65"/>
        <v>8.450000000000002E-2</v>
      </c>
    </row>
    <row r="103" spans="2:208" ht="15.75" thickBot="1">
      <c r="B103" s="16"/>
      <c r="C103" s="17"/>
      <c r="D103" s="17"/>
      <c r="E103" s="17"/>
      <c r="F103" s="18"/>
      <c r="G103" s="44"/>
      <c r="H103" s="45"/>
      <c r="I103" s="45"/>
      <c r="J103" s="45"/>
      <c r="K103" s="45"/>
      <c r="L103" s="45"/>
      <c r="M103" s="45"/>
      <c r="N103" s="45"/>
      <c r="O103" s="45"/>
      <c r="P103" s="45"/>
      <c r="Q103" s="45"/>
      <c r="R103" s="45"/>
      <c r="S103" s="45"/>
      <c r="T103" s="45"/>
      <c r="U103" s="46"/>
      <c r="V103" s="46"/>
      <c r="W103" s="46"/>
      <c r="X103" s="46"/>
      <c r="Y103" s="46"/>
      <c r="Z103" s="46"/>
      <c r="AA103" s="46"/>
      <c r="AB103" s="46"/>
      <c r="AC103" s="46"/>
      <c r="AD103" s="46"/>
      <c r="AE103" s="35"/>
      <c r="AF103" s="47"/>
      <c r="AG103" s="46"/>
      <c r="AH103" s="46"/>
      <c r="AI103" s="46"/>
      <c r="AJ103" s="48"/>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33"/>
      <c r="CH103" s="33">
        <v>21</v>
      </c>
      <c r="CI103" s="33">
        <f t="shared" ca="1" si="66"/>
        <v>93.191874999999996</v>
      </c>
      <c r="CJ103" s="33">
        <f t="shared" si="67"/>
        <v>16.130323436145353</v>
      </c>
      <c r="CK103" s="33">
        <f t="shared" ca="1" si="68"/>
        <v>0</v>
      </c>
      <c r="CL103" s="29">
        <v>20</v>
      </c>
      <c r="CN103" s="33">
        <v>21</v>
      </c>
      <c r="CO103" s="33">
        <f t="shared" ca="1" si="69"/>
        <v>106.505</v>
      </c>
      <c r="CP103" s="33">
        <f t="shared" si="70"/>
        <v>43.663003160001658</v>
      </c>
      <c r="CQ103" s="33">
        <f t="shared" ca="1" si="71"/>
        <v>0</v>
      </c>
      <c r="CR103" s="29">
        <v>20</v>
      </c>
      <c r="CT103" s="33">
        <v>21</v>
      </c>
      <c r="CU103" s="33">
        <f t="shared" ca="1" si="72"/>
        <v>133.13124999999999</v>
      </c>
      <c r="CV103" s="33">
        <f t="shared" si="73"/>
        <v>88.435426051266134</v>
      </c>
      <c r="CW103" s="33">
        <f t="shared" ca="1" si="74"/>
        <v>0</v>
      </c>
      <c r="CX103" s="29">
        <v>20</v>
      </c>
      <c r="CZ103" s="33">
        <v>21</v>
      </c>
      <c r="DA103" s="33">
        <f t="shared" ca="1" si="75"/>
        <v>177.50833333333333</v>
      </c>
      <c r="DB103" s="33">
        <f t="shared" si="76"/>
        <v>180.32815590169247</v>
      </c>
      <c r="DC103" s="33">
        <f t="shared" ca="1" si="77"/>
        <v>2.8198225683591431</v>
      </c>
      <c r="DD103" s="29">
        <v>20</v>
      </c>
      <c r="DF103" s="60">
        <v>21</v>
      </c>
      <c r="DG103" s="60">
        <f t="shared" ca="1" si="78"/>
        <v>270.70020833333331</v>
      </c>
      <c r="DH103" s="60">
        <f t="shared" si="79"/>
        <v>314.11949203310655</v>
      </c>
      <c r="DI103" s="60">
        <f t="shared" ca="1" si="80"/>
        <v>43.419283699773246</v>
      </c>
      <c r="DJ103" s="51">
        <v>20</v>
      </c>
      <c r="DL103" s="60">
        <v>21</v>
      </c>
      <c r="DM103" s="60">
        <f t="shared" ca="1" si="81"/>
        <v>408.26916666666665</v>
      </c>
      <c r="DN103" s="60">
        <f t="shared" si="82"/>
        <v>673.44653516644905</v>
      </c>
      <c r="DO103" s="60">
        <f t="shared" ca="1" si="83"/>
        <v>265.1773684997824</v>
      </c>
      <c r="DP103" s="51">
        <v>20</v>
      </c>
      <c r="EG103" s="26" t="s">
        <v>39</v>
      </c>
      <c r="EH103" s="26">
        <v>5</v>
      </c>
      <c r="EI103" s="26">
        <v>54</v>
      </c>
      <c r="EJ103" s="26">
        <v>41.8</v>
      </c>
      <c r="EK103" s="26">
        <v>35.1</v>
      </c>
      <c r="EL103" s="26">
        <v>25.1</v>
      </c>
      <c r="EM103" s="26">
        <v>20.3</v>
      </c>
      <c r="EN103" s="26">
        <v>17.399999999999999</v>
      </c>
      <c r="EO103" s="26">
        <v>11.9</v>
      </c>
      <c r="EP103" s="26">
        <v>8</v>
      </c>
      <c r="EQ103" s="26">
        <v>5</v>
      </c>
      <c r="FF103" s="29">
        <v>99</v>
      </c>
      <c r="FG103" s="29">
        <f t="shared" si="48"/>
        <v>6.2203534541077907</v>
      </c>
      <c r="FH103" s="29">
        <f t="shared" si="50"/>
        <v>0.28116284414120601</v>
      </c>
      <c r="FI103" s="29">
        <f t="shared" si="51"/>
        <v>0.59940801852848147</v>
      </c>
      <c r="FJ103" s="29"/>
      <c r="FL103" s="29">
        <f t="shared" si="52"/>
        <v>0</v>
      </c>
      <c r="FM103" s="29">
        <f t="shared" si="53"/>
        <v>0</v>
      </c>
      <c r="FP103" s="29">
        <f t="shared" si="54"/>
        <v>0</v>
      </c>
      <c r="FQ103" s="29">
        <f t="shared" si="55"/>
        <v>0</v>
      </c>
      <c r="FT103" s="29">
        <f t="shared" si="62"/>
        <v>0.5</v>
      </c>
      <c r="FU103" s="29">
        <f t="shared" si="63"/>
        <v>8.450000000000002E-2</v>
      </c>
      <c r="GK103" s="51">
        <v>99</v>
      </c>
      <c r="GL103" s="51">
        <f t="shared" si="49"/>
        <v>6.2203534541077907</v>
      </c>
      <c r="GM103" s="51">
        <f t="shared" si="56"/>
        <v>0.28116284414120601</v>
      </c>
      <c r="GN103" s="51">
        <f t="shared" si="57"/>
        <v>0.59940801852848147</v>
      </c>
      <c r="GQ103" s="51">
        <f t="shared" si="58"/>
        <v>0</v>
      </c>
      <c r="GR103" s="51">
        <f t="shared" si="59"/>
        <v>0</v>
      </c>
      <c r="GU103" s="51">
        <f t="shared" si="60"/>
        <v>0</v>
      </c>
      <c r="GV103" s="51">
        <f t="shared" si="61"/>
        <v>0</v>
      </c>
      <c r="GY103" s="51">
        <f t="shared" si="64"/>
        <v>0.5</v>
      </c>
      <c r="GZ103" s="51">
        <f t="shared" si="65"/>
        <v>8.450000000000002E-2</v>
      </c>
    </row>
    <row r="104" spans="2:208">
      <c r="B104" s="146" t="s">
        <v>3</v>
      </c>
      <c r="C104" s="147"/>
      <c r="D104" s="147"/>
      <c r="E104" s="147"/>
      <c r="F104" s="148"/>
      <c r="G104" s="155" t="s">
        <v>4</v>
      </c>
      <c r="H104" s="156"/>
      <c r="I104" s="156"/>
      <c r="J104" s="156"/>
      <c r="K104" s="156"/>
      <c r="L104" s="156"/>
      <c r="M104" s="165" t="str">
        <f>IF(M53="","",M53)</f>
        <v/>
      </c>
      <c r="N104" s="147"/>
      <c r="O104" s="147"/>
      <c r="P104" s="147"/>
      <c r="Q104" s="147"/>
      <c r="R104" s="147"/>
      <c r="S104" s="147"/>
      <c r="T104" s="147"/>
      <c r="U104" s="147"/>
      <c r="V104" s="147"/>
      <c r="W104" s="147"/>
      <c r="X104" s="147"/>
      <c r="Y104" s="147"/>
      <c r="Z104" s="147"/>
      <c r="AA104" s="147"/>
      <c r="AB104" s="147"/>
      <c r="AC104" s="147"/>
      <c r="AD104" s="147"/>
      <c r="AE104" s="148"/>
      <c r="AF104" s="160" t="s">
        <v>5</v>
      </c>
      <c r="AG104" s="156"/>
      <c r="AH104" s="156"/>
      <c r="AI104" s="156"/>
      <c r="AJ104" s="161"/>
      <c r="CH104" s="33">
        <v>22</v>
      </c>
      <c r="CI104" s="33">
        <f t="shared" ca="1" si="66"/>
        <v>97.629583333333329</v>
      </c>
      <c r="CJ104" s="33">
        <f t="shared" si="67"/>
        <v>16.181279315483344</v>
      </c>
      <c r="CK104" s="33">
        <f t="shared" ca="1" si="68"/>
        <v>0</v>
      </c>
      <c r="CL104" s="29">
        <v>21</v>
      </c>
      <c r="CN104" s="33">
        <v>22</v>
      </c>
      <c r="CO104" s="33">
        <f t="shared" ca="1" si="69"/>
        <v>110.94270833333333</v>
      </c>
      <c r="CP104" s="33">
        <f t="shared" si="70"/>
        <v>43.755967765237799</v>
      </c>
      <c r="CQ104" s="33">
        <f t="shared" ca="1" si="71"/>
        <v>0</v>
      </c>
      <c r="CR104" s="29">
        <v>21</v>
      </c>
      <c r="CT104" s="33">
        <v>22</v>
      </c>
      <c r="CU104" s="33">
        <f t="shared" ca="1" si="72"/>
        <v>137.56895833333334</v>
      </c>
      <c r="CV104" s="33">
        <f t="shared" si="73"/>
        <v>88.577424358770898</v>
      </c>
      <c r="CW104" s="33">
        <f t="shared" ca="1" si="74"/>
        <v>0</v>
      </c>
      <c r="CX104" s="29">
        <v>21</v>
      </c>
      <c r="CZ104" s="33">
        <v>22</v>
      </c>
      <c r="DA104" s="33">
        <f t="shared" ca="1" si="75"/>
        <v>181.94604166666664</v>
      </c>
      <c r="DB104" s="33">
        <f t="shared" si="76"/>
        <v>180.54653340782193</v>
      </c>
      <c r="DC104" s="33">
        <f t="shared" ca="1" si="77"/>
        <v>0</v>
      </c>
      <c r="DD104" s="29">
        <v>21</v>
      </c>
      <c r="DF104" s="60">
        <v>22</v>
      </c>
      <c r="DG104" s="60">
        <f t="shared" ca="1" si="78"/>
        <v>275.13791666666668</v>
      </c>
      <c r="DH104" s="60">
        <f t="shared" si="79"/>
        <v>314.42378421947717</v>
      </c>
      <c r="DI104" s="60">
        <f t="shared" ca="1" si="80"/>
        <v>39.285867552810487</v>
      </c>
      <c r="DJ104" s="51">
        <v>21</v>
      </c>
      <c r="DL104" s="60">
        <v>22</v>
      </c>
      <c r="DM104" s="60">
        <f t="shared" ca="1" si="81"/>
        <v>412.70687499999997</v>
      </c>
      <c r="DN104" s="60">
        <f t="shared" si="82"/>
        <v>673.89533377193504</v>
      </c>
      <c r="DO104" s="60">
        <f t="shared" ca="1" si="83"/>
        <v>261.18845877193507</v>
      </c>
      <c r="DP104" s="51">
        <v>21</v>
      </c>
      <c r="EG104" s="26">
        <v>0.2</v>
      </c>
      <c r="EH104" s="26">
        <v>10</v>
      </c>
      <c r="EI104" s="26">
        <v>61.3</v>
      </c>
      <c r="EJ104" s="26">
        <v>47.9</v>
      </c>
      <c r="EK104" s="26">
        <v>40.4</v>
      </c>
      <c r="EL104" s="26">
        <v>29.1</v>
      </c>
      <c r="EM104" s="26">
        <v>23.7</v>
      </c>
      <c r="EN104" s="26">
        <v>20.399999999999999</v>
      </c>
      <c r="EO104" s="26">
        <v>13.9</v>
      </c>
      <c r="EP104" s="26">
        <v>9.3000000000000007</v>
      </c>
      <c r="EQ104" s="26">
        <v>6</v>
      </c>
      <c r="FF104" s="29">
        <v>100</v>
      </c>
      <c r="FG104" s="29">
        <f t="shared" si="48"/>
        <v>6.2831853071795862</v>
      </c>
      <c r="FH104" s="29">
        <f t="shared" si="50"/>
        <v>0.29999999999999993</v>
      </c>
      <c r="FI104" s="29">
        <f t="shared" si="51"/>
        <v>0.6</v>
      </c>
      <c r="FJ104" s="29"/>
      <c r="FL104" s="29">
        <f t="shared" si="52"/>
        <v>0</v>
      </c>
      <c r="FM104" s="29">
        <f t="shared" si="53"/>
        <v>0</v>
      </c>
      <c r="FP104" s="29">
        <f t="shared" si="54"/>
        <v>0</v>
      </c>
      <c r="FQ104" s="29">
        <f t="shared" si="55"/>
        <v>0</v>
      </c>
      <c r="FT104" s="29">
        <f t="shared" si="62"/>
        <v>0.5</v>
      </c>
      <c r="FU104" s="29">
        <f t="shared" si="63"/>
        <v>8.450000000000002E-2</v>
      </c>
      <c r="GK104" s="51">
        <v>100</v>
      </c>
      <c r="GL104" s="51">
        <f t="shared" si="49"/>
        <v>6.2831853071795862</v>
      </c>
      <c r="GM104" s="51">
        <f t="shared" si="56"/>
        <v>0.29999999999999993</v>
      </c>
      <c r="GN104" s="51">
        <f t="shared" si="57"/>
        <v>0.6</v>
      </c>
      <c r="GQ104" s="51">
        <f t="shared" si="58"/>
        <v>0</v>
      </c>
      <c r="GR104" s="51">
        <f t="shared" si="59"/>
        <v>0</v>
      </c>
      <c r="GU104" s="51">
        <f t="shared" si="60"/>
        <v>0</v>
      </c>
      <c r="GV104" s="51">
        <f t="shared" si="61"/>
        <v>0</v>
      </c>
      <c r="GY104" s="51">
        <f t="shared" si="64"/>
        <v>0.5</v>
      </c>
      <c r="GZ104" s="51">
        <f t="shared" si="65"/>
        <v>8.450000000000002E-2</v>
      </c>
    </row>
    <row r="105" spans="2:208">
      <c r="B105" s="149"/>
      <c r="C105" s="150"/>
      <c r="D105" s="150"/>
      <c r="E105" s="150"/>
      <c r="F105" s="151"/>
      <c r="G105" s="102" t="s">
        <v>6</v>
      </c>
      <c r="H105" s="100"/>
      <c r="I105" s="100"/>
      <c r="J105" s="100"/>
      <c r="K105" s="100"/>
      <c r="L105" s="162"/>
      <c r="M105" s="163" t="str">
        <f>IF(M54="","",M54)</f>
        <v>Linear Drain Design</v>
      </c>
      <c r="N105" s="100"/>
      <c r="O105" s="100"/>
      <c r="P105" s="100"/>
      <c r="Q105" s="100"/>
      <c r="R105" s="100"/>
      <c r="S105" s="100"/>
      <c r="T105" s="100"/>
      <c r="U105" s="100"/>
      <c r="V105" s="100"/>
      <c r="W105" s="100"/>
      <c r="X105" s="100"/>
      <c r="Y105" s="100"/>
      <c r="Z105" s="100"/>
      <c r="AA105" s="100"/>
      <c r="AB105" s="100"/>
      <c r="AC105" s="100"/>
      <c r="AD105" s="100"/>
      <c r="AE105" s="101"/>
      <c r="AF105" s="96" t="s">
        <v>10</v>
      </c>
      <c r="AG105" s="97"/>
      <c r="AH105" s="97"/>
      <c r="AI105" s="97"/>
      <c r="AJ105" s="98"/>
      <c r="CH105" s="33">
        <v>23</v>
      </c>
      <c r="CI105" s="33">
        <f t="shared" ca="1" si="66"/>
        <v>102.06729166666666</v>
      </c>
      <c r="CJ105" s="33">
        <f t="shared" si="67"/>
        <v>16.232235194821339</v>
      </c>
      <c r="CK105" s="33">
        <f t="shared" ca="1" si="68"/>
        <v>0</v>
      </c>
      <c r="CL105" s="29">
        <v>22</v>
      </c>
      <c r="CN105" s="33">
        <v>23</v>
      </c>
      <c r="CO105" s="33">
        <f t="shared" ca="1" si="69"/>
        <v>115.38041666666666</v>
      </c>
      <c r="CP105" s="33">
        <f t="shared" si="70"/>
        <v>43.848932370473932</v>
      </c>
      <c r="CQ105" s="33">
        <f t="shared" ca="1" si="71"/>
        <v>0</v>
      </c>
      <c r="CR105" s="29">
        <v>22</v>
      </c>
      <c r="CT105" s="33">
        <v>23</v>
      </c>
      <c r="CU105" s="33">
        <f t="shared" ca="1" si="72"/>
        <v>142.00666666666666</v>
      </c>
      <c r="CV105" s="33">
        <f t="shared" si="73"/>
        <v>88.719422666275676</v>
      </c>
      <c r="CW105" s="33">
        <f t="shared" ca="1" si="74"/>
        <v>0</v>
      </c>
      <c r="CX105" s="29">
        <v>22</v>
      </c>
      <c r="CZ105" s="33">
        <v>23</v>
      </c>
      <c r="DA105" s="33">
        <f t="shared" ca="1" si="75"/>
        <v>186.38374999999999</v>
      </c>
      <c r="DB105" s="33">
        <f t="shared" si="76"/>
        <v>180.76491091395138</v>
      </c>
      <c r="DC105" s="33">
        <f t="shared" ca="1" si="77"/>
        <v>0</v>
      </c>
      <c r="DD105" s="29">
        <v>22</v>
      </c>
      <c r="DF105" s="60">
        <v>23</v>
      </c>
      <c r="DG105" s="60">
        <f t="shared" ca="1" si="78"/>
        <v>279.575625</v>
      </c>
      <c r="DH105" s="60">
        <f t="shared" si="79"/>
        <v>314.72807640584784</v>
      </c>
      <c r="DI105" s="60">
        <f t="shared" ca="1" si="80"/>
        <v>35.152451405847842</v>
      </c>
      <c r="DJ105" s="51">
        <v>22</v>
      </c>
      <c r="DL105" s="60">
        <v>23</v>
      </c>
      <c r="DM105" s="60">
        <f t="shared" ca="1" si="81"/>
        <v>417.14458333333334</v>
      </c>
      <c r="DN105" s="60">
        <f t="shared" si="82"/>
        <v>674.34413237742092</v>
      </c>
      <c r="DO105" s="60">
        <f t="shared" ca="1" si="83"/>
        <v>257.19954904408758</v>
      </c>
      <c r="DP105" s="51">
        <v>22</v>
      </c>
      <c r="EG105" s="26"/>
      <c r="EH105" s="26">
        <v>15</v>
      </c>
      <c r="EI105" s="26">
        <v>66.099999999999994</v>
      </c>
      <c r="EJ105" s="26">
        <v>51.8</v>
      </c>
      <c r="EK105" s="26">
        <v>43.8</v>
      </c>
      <c r="EL105" s="26">
        <v>31.8</v>
      </c>
      <c r="EM105" s="26">
        <v>25.9</v>
      </c>
      <c r="EN105" s="26">
        <v>22.3</v>
      </c>
      <c r="EO105" s="26">
        <v>15.3</v>
      </c>
      <c r="EP105" s="26">
        <v>10.199999999999999</v>
      </c>
      <c r="EQ105" s="26">
        <v>7</v>
      </c>
    </row>
    <row r="106" spans="2:208">
      <c r="B106" s="149"/>
      <c r="C106" s="150"/>
      <c r="D106" s="150"/>
      <c r="E106" s="150"/>
      <c r="F106" s="151"/>
      <c r="G106" s="99" t="s">
        <v>10</v>
      </c>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1"/>
      <c r="AF106" s="102" t="s">
        <v>7</v>
      </c>
      <c r="AG106" s="103"/>
      <c r="AH106" s="103"/>
      <c r="AI106" s="103"/>
      <c r="AJ106" s="104"/>
      <c r="CH106" s="33">
        <v>24</v>
      </c>
      <c r="CI106" s="33">
        <f t="shared" ca="1" si="66"/>
        <v>106.505</v>
      </c>
      <c r="CJ106" s="33">
        <f t="shared" si="67"/>
        <v>16.28319107415933</v>
      </c>
      <c r="CK106" s="33">
        <f t="shared" ca="1" si="68"/>
        <v>0</v>
      </c>
      <c r="CL106" s="29">
        <v>23</v>
      </c>
      <c r="CN106" s="33">
        <v>24</v>
      </c>
      <c r="CO106" s="33">
        <f t="shared" ca="1" si="69"/>
        <v>119.81812499999999</v>
      </c>
      <c r="CP106" s="33">
        <f t="shared" si="70"/>
        <v>43.941896975710065</v>
      </c>
      <c r="CQ106" s="33">
        <f t="shared" ca="1" si="71"/>
        <v>0</v>
      </c>
      <c r="CR106" s="29">
        <v>23</v>
      </c>
      <c r="CT106" s="33">
        <v>24</v>
      </c>
      <c r="CU106" s="33">
        <f t="shared" ca="1" si="72"/>
        <v>146.44437499999998</v>
      </c>
      <c r="CV106" s="33">
        <f t="shared" si="73"/>
        <v>88.86142097378044</v>
      </c>
      <c r="CW106" s="33">
        <f t="shared" ca="1" si="74"/>
        <v>0</v>
      </c>
      <c r="CX106" s="29">
        <v>23</v>
      </c>
      <c r="CZ106" s="33">
        <v>24</v>
      </c>
      <c r="DA106" s="33">
        <f t="shared" ca="1" si="75"/>
        <v>190.82145833333334</v>
      </c>
      <c r="DB106" s="33">
        <f t="shared" si="76"/>
        <v>180.98328842008081</v>
      </c>
      <c r="DC106" s="33">
        <f t="shared" ca="1" si="77"/>
        <v>0</v>
      </c>
      <c r="DD106" s="29">
        <v>23</v>
      </c>
      <c r="DF106" s="60">
        <v>24</v>
      </c>
      <c r="DG106" s="60">
        <f t="shared" ca="1" si="78"/>
        <v>284.01333333333332</v>
      </c>
      <c r="DH106" s="60">
        <f t="shared" si="79"/>
        <v>315.03236859221852</v>
      </c>
      <c r="DI106" s="60">
        <f t="shared" ca="1" si="80"/>
        <v>31.019035258885197</v>
      </c>
      <c r="DJ106" s="51">
        <v>23</v>
      </c>
      <c r="DL106" s="60">
        <v>24</v>
      </c>
      <c r="DM106" s="60">
        <f t="shared" ca="1" si="81"/>
        <v>421.58229166666666</v>
      </c>
      <c r="DN106" s="60">
        <f t="shared" si="82"/>
        <v>674.79293098290691</v>
      </c>
      <c r="DO106" s="60">
        <f t="shared" ca="1" si="83"/>
        <v>253.21063931624025</v>
      </c>
      <c r="DP106" s="51">
        <v>23</v>
      </c>
      <c r="EG106" s="26"/>
      <c r="EH106" s="26">
        <v>20</v>
      </c>
      <c r="EI106" s="26">
        <v>69.7</v>
      </c>
      <c r="EJ106" s="26">
        <v>54.8</v>
      </c>
      <c r="EK106" s="26">
        <v>46.5</v>
      </c>
      <c r="EL106" s="26">
        <v>33.799999999999997</v>
      </c>
      <c r="EM106" s="26">
        <v>27.6</v>
      </c>
      <c r="EN106" s="26">
        <v>23.8</v>
      </c>
      <c r="EO106" s="26">
        <v>16.3</v>
      </c>
      <c r="EP106" s="26">
        <v>10.8</v>
      </c>
      <c r="EQ106" s="26">
        <v>7</v>
      </c>
    </row>
    <row r="107" spans="2:208" ht="15.75" thickBot="1">
      <c r="B107" s="152"/>
      <c r="C107" s="153"/>
      <c r="D107" s="153"/>
      <c r="E107" s="153"/>
      <c r="F107" s="154"/>
      <c r="G107" s="105" t="s">
        <v>8</v>
      </c>
      <c r="H107" s="106"/>
      <c r="I107" s="106"/>
      <c r="J107" s="106"/>
      <c r="K107" s="106"/>
      <c r="L107" s="107"/>
      <c r="M107" s="108">
        <v>3</v>
      </c>
      <c r="N107" s="109"/>
      <c r="O107" s="109"/>
      <c r="P107" s="109"/>
      <c r="Q107" s="109"/>
      <c r="R107" s="109"/>
      <c r="S107" s="110"/>
      <c r="T107" s="111" t="s">
        <v>9</v>
      </c>
      <c r="U107" s="105"/>
      <c r="V107" s="105"/>
      <c r="W107" s="105"/>
      <c r="X107" s="105"/>
      <c r="Y107" s="112"/>
      <c r="Z107" s="113" t="s">
        <v>10</v>
      </c>
      <c r="AA107" s="114"/>
      <c r="AB107" s="114"/>
      <c r="AC107" s="114"/>
      <c r="AD107" s="114"/>
      <c r="AE107" s="115"/>
      <c r="AF107" s="116" t="s">
        <v>10</v>
      </c>
      <c r="AG107" s="114"/>
      <c r="AH107" s="114"/>
      <c r="AI107" s="114"/>
      <c r="AJ107" s="117"/>
      <c r="CH107" s="33">
        <v>25</v>
      </c>
      <c r="CI107" s="33">
        <f t="shared" ca="1" si="66"/>
        <v>110.94270833333333</v>
      </c>
      <c r="CJ107" s="33">
        <f t="shared" si="67"/>
        <v>16.334146953497321</v>
      </c>
      <c r="CK107" s="33">
        <f t="shared" ca="1" si="68"/>
        <v>0</v>
      </c>
      <c r="CL107" s="29">
        <v>24</v>
      </c>
      <c r="CN107" s="33">
        <v>25</v>
      </c>
      <c r="CO107" s="33">
        <f t="shared" ca="1" si="69"/>
        <v>124.25583333333333</v>
      </c>
      <c r="CP107" s="33">
        <f t="shared" si="70"/>
        <v>44.034861580946199</v>
      </c>
      <c r="CQ107" s="33">
        <f t="shared" ca="1" si="71"/>
        <v>0</v>
      </c>
      <c r="CR107" s="29">
        <v>24</v>
      </c>
      <c r="CT107" s="33">
        <v>25</v>
      </c>
      <c r="CU107" s="33">
        <f t="shared" ca="1" si="72"/>
        <v>150.88208333333333</v>
      </c>
      <c r="CV107" s="33">
        <f t="shared" si="73"/>
        <v>89.003419281285218</v>
      </c>
      <c r="CW107" s="33">
        <f t="shared" ca="1" si="74"/>
        <v>0</v>
      </c>
      <c r="CX107" s="29">
        <v>24</v>
      </c>
      <c r="CZ107" s="33">
        <v>25</v>
      </c>
      <c r="DA107" s="33">
        <f t="shared" ca="1" si="75"/>
        <v>195.25916666666666</v>
      </c>
      <c r="DB107" s="33">
        <f t="shared" si="76"/>
        <v>181.2016659262103</v>
      </c>
      <c r="DC107" s="33">
        <f t="shared" ca="1" si="77"/>
        <v>0</v>
      </c>
      <c r="DD107" s="29">
        <v>24</v>
      </c>
      <c r="DF107" s="60">
        <v>25</v>
      </c>
      <c r="DG107" s="60">
        <f t="shared" ca="1" si="78"/>
        <v>288.45104166666664</v>
      </c>
      <c r="DH107" s="60">
        <f t="shared" si="79"/>
        <v>315.33666077858913</v>
      </c>
      <c r="DI107" s="60">
        <f t="shared" ca="1" si="80"/>
        <v>26.885619111922495</v>
      </c>
      <c r="DJ107" s="51">
        <v>24</v>
      </c>
      <c r="DL107" s="60">
        <v>25</v>
      </c>
      <c r="DM107" s="60">
        <f t="shared" ca="1" si="81"/>
        <v>426.02</v>
      </c>
      <c r="DN107" s="60">
        <f t="shared" si="82"/>
        <v>675.2417295883929</v>
      </c>
      <c r="DO107" s="60">
        <f t="shared" ca="1" si="83"/>
        <v>249.22172958839292</v>
      </c>
      <c r="DP107" s="51">
        <v>24</v>
      </c>
      <c r="EG107" s="26"/>
      <c r="EH107" s="26">
        <v>25</v>
      </c>
      <c r="EI107" s="26">
        <v>72.599999999999994</v>
      </c>
      <c r="EJ107" s="26">
        <v>57.2</v>
      </c>
      <c r="EK107" s="26">
        <v>48.6</v>
      </c>
      <c r="EL107" s="26">
        <v>35.5</v>
      </c>
      <c r="EM107" s="26">
        <v>29</v>
      </c>
      <c r="EN107" s="26">
        <v>25</v>
      </c>
      <c r="EO107" s="26">
        <v>17.100000000000001</v>
      </c>
      <c r="EP107" s="26">
        <v>11.4</v>
      </c>
      <c r="EQ107" s="26">
        <v>7</v>
      </c>
    </row>
    <row r="108" spans="2:208">
      <c r="B108" s="2"/>
      <c r="C108" s="3"/>
      <c r="D108" s="3"/>
      <c r="E108" s="3"/>
      <c r="F108" s="4"/>
      <c r="G108" s="39"/>
      <c r="H108" s="37"/>
      <c r="I108" s="37"/>
      <c r="J108" s="37"/>
      <c r="K108" s="37"/>
      <c r="L108" s="37"/>
      <c r="M108" s="37"/>
      <c r="N108" s="37"/>
      <c r="O108" s="37"/>
      <c r="P108" s="37"/>
      <c r="Q108" s="37"/>
      <c r="R108" s="37"/>
      <c r="S108" s="37"/>
      <c r="T108" s="37"/>
      <c r="U108" s="41"/>
      <c r="V108" s="41"/>
      <c r="W108" s="41"/>
      <c r="X108" s="41"/>
      <c r="Y108" s="41"/>
      <c r="Z108" s="41"/>
      <c r="AA108" s="41"/>
      <c r="AB108" s="41"/>
      <c r="AC108" s="41"/>
      <c r="AD108" s="41"/>
      <c r="AE108" s="34"/>
      <c r="AF108" s="42"/>
      <c r="AG108" s="41"/>
      <c r="AH108" s="41"/>
      <c r="AI108" s="41"/>
      <c r="AJ108" s="43"/>
      <c r="CH108" s="33">
        <v>26</v>
      </c>
      <c r="CI108" s="33">
        <f t="shared" ca="1" si="66"/>
        <v>115.38041666666666</v>
      </c>
      <c r="CJ108" s="33">
        <f t="shared" si="67"/>
        <v>16.385102832835315</v>
      </c>
      <c r="CK108" s="33">
        <f t="shared" ca="1" si="68"/>
        <v>0</v>
      </c>
      <c r="CL108" s="29">
        <v>25</v>
      </c>
      <c r="CN108" s="33">
        <v>26</v>
      </c>
      <c r="CO108" s="33">
        <f t="shared" ca="1" si="69"/>
        <v>128.69354166666665</v>
      </c>
      <c r="CP108" s="33">
        <f t="shared" si="70"/>
        <v>44.127826186182332</v>
      </c>
      <c r="CQ108" s="33">
        <f t="shared" ca="1" si="71"/>
        <v>0</v>
      </c>
      <c r="CR108" s="29">
        <v>25</v>
      </c>
      <c r="CT108" s="33">
        <v>26</v>
      </c>
      <c r="CU108" s="33">
        <f t="shared" ca="1" si="72"/>
        <v>155.31979166666667</v>
      </c>
      <c r="CV108" s="33">
        <f t="shared" si="73"/>
        <v>89.145417588789982</v>
      </c>
      <c r="CW108" s="33">
        <f t="shared" ca="1" si="74"/>
        <v>0</v>
      </c>
      <c r="CX108" s="29">
        <v>25</v>
      </c>
      <c r="CZ108" s="33">
        <v>26</v>
      </c>
      <c r="DA108" s="33">
        <f t="shared" ca="1" si="75"/>
        <v>199.69687499999998</v>
      </c>
      <c r="DB108" s="33">
        <f t="shared" si="76"/>
        <v>181.42004343233972</v>
      </c>
      <c r="DC108" s="33">
        <f t="shared" ca="1" si="77"/>
        <v>0</v>
      </c>
      <c r="DD108" s="29">
        <v>25</v>
      </c>
      <c r="DF108" s="60">
        <v>26</v>
      </c>
      <c r="DG108" s="60">
        <f t="shared" ca="1" si="78"/>
        <v>292.88874999999996</v>
      </c>
      <c r="DH108" s="60">
        <f t="shared" si="79"/>
        <v>315.64095296495981</v>
      </c>
      <c r="DI108" s="60">
        <f t="shared" ca="1" si="80"/>
        <v>22.752202964959849</v>
      </c>
      <c r="DJ108" s="51">
        <v>25</v>
      </c>
      <c r="DL108" s="60">
        <v>26</v>
      </c>
      <c r="DM108" s="60">
        <f t="shared" ca="1" si="81"/>
        <v>430.4577083333333</v>
      </c>
      <c r="DN108" s="60">
        <f t="shared" si="82"/>
        <v>675.69052819387889</v>
      </c>
      <c r="DO108" s="60">
        <f t="shared" ca="1" si="83"/>
        <v>245.23281986054559</v>
      </c>
      <c r="DP108" s="51">
        <v>25</v>
      </c>
      <c r="EG108" s="26"/>
      <c r="EH108" s="26">
        <v>30</v>
      </c>
      <c r="EI108" s="26">
        <v>75.099999999999994</v>
      </c>
      <c r="EJ108" s="26">
        <v>59.3</v>
      </c>
      <c r="EK108" s="26">
        <v>50.4</v>
      </c>
      <c r="EL108" s="26">
        <v>36.9</v>
      </c>
      <c r="EM108" s="26">
        <v>30.2</v>
      </c>
      <c r="EN108" s="26">
        <v>26.1</v>
      </c>
      <c r="EO108" s="26">
        <v>17.899999999999999</v>
      </c>
      <c r="EP108" s="26">
        <v>11.8</v>
      </c>
      <c r="EQ108" s="26">
        <v>8</v>
      </c>
    </row>
    <row r="109" spans="2:208">
      <c r="B109" s="9"/>
      <c r="C109" s="10"/>
      <c r="D109" s="10"/>
      <c r="E109" s="10"/>
      <c r="F109" s="11"/>
      <c r="G109" s="39"/>
      <c r="H109" s="135" t="s">
        <v>115</v>
      </c>
      <c r="I109" s="136"/>
      <c r="J109" s="136"/>
      <c r="K109" s="136"/>
      <c r="L109" s="136"/>
      <c r="M109" s="136"/>
      <c r="N109" s="136"/>
      <c r="O109" s="136"/>
      <c r="P109" s="136"/>
      <c r="Q109" s="136"/>
      <c r="R109" s="136"/>
      <c r="S109" s="137"/>
      <c r="T109" s="37"/>
      <c r="U109" s="125" t="s">
        <v>112</v>
      </c>
      <c r="V109" s="136"/>
      <c r="W109" s="136"/>
      <c r="X109" s="136"/>
      <c r="Y109" s="136"/>
      <c r="Z109" s="136"/>
      <c r="AA109" s="136"/>
      <c r="AB109" s="136"/>
      <c r="AC109" s="136"/>
      <c r="AD109" s="136"/>
      <c r="AE109" s="170"/>
      <c r="AF109" s="42"/>
      <c r="AG109" s="41"/>
      <c r="AH109" s="41"/>
      <c r="AI109" s="41"/>
      <c r="AJ109" s="43"/>
      <c r="CH109" s="33">
        <v>27</v>
      </c>
      <c r="CI109" s="33">
        <f t="shared" ca="1" si="66"/>
        <v>119.81812499999999</v>
      </c>
      <c r="CJ109" s="33">
        <f t="shared" si="67"/>
        <v>16.436058712173306</v>
      </c>
      <c r="CK109" s="33">
        <f t="shared" ca="1" si="68"/>
        <v>0</v>
      </c>
      <c r="CL109" s="29">
        <v>26</v>
      </c>
      <c r="CN109" s="33">
        <v>27</v>
      </c>
      <c r="CO109" s="33">
        <f t="shared" ca="1" si="69"/>
        <v>133.13124999999999</v>
      </c>
      <c r="CP109" s="33">
        <f t="shared" si="70"/>
        <v>44.220790791418466</v>
      </c>
      <c r="CQ109" s="33">
        <f t="shared" ca="1" si="71"/>
        <v>0</v>
      </c>
      <c r="CR109" s="29">
        <v>26</v>
      </c>
      <c r="CT109" s="33">
        <v>27</v>
      </c>
      <c r="CU109" s="33">
        <f t="shared" ca="1" si="72"/>
        <v>159.75749999999999</v>
      </c>
      <c r="CV109" s="33">
        <f t="shared" si="73"/>
        <v>89.287415896294746</v>
      </c>
      <c r="CW109" s="33">
        <f t="shared" ca="1" si="74"/>
        <v>0</v>
      </c>
      <c r="CX109" s="29">
        <v>26</v>
      </c>
      <c r="CZ109" s="33">
        <v>27</v>
      </c>
      <c r="DA109" s="33">
        <f t="shared" ca="1" si="75"/>
        <v>204.13458333333332</v>
      </c>
      <c r="DB109" s="33">
        <f t="shared" si="76"/>
        <v>181.63842093846918</v>
      </c>
      <c r="DC109" s="33">
        <f t="shared" ca="1" si="77"/>
        <v>0</v>
      </c>
      <c r="DD109" s="29">
        <v>26</v>
      </c>
      <c r="DF109" s="60">
        <v>27</v>
      </c>
      <c r="DG109" s="60">
        <f t="shared" ca="1" si="78"/>
        <v>297.32645833333333</v>
      </c>
      <c r="DH109" s="60">
        <f t="shared" si="79"/>
        <v>315.94524515133043</v>
      </c>
      <c r="DI109" s="60">
        <f t="shared" ca="1" si="80"/>
        <v>18.618786817997091</v>
      </c>
      <c r="DJ109" s="51">
        <v>26</v>
      </c>
      <c r="DL109" s="60">
        <v>27</v>
      </c>
      <c r="DM109" s="60">
        <f t="shared" ca="1" si="81"/>
        <v>434.89541666666662</v>
      </c>
      <c r="DN109" s="60">
        <f t="shared" si="82"/>
        <v>676.13932679936488</v>
      </c>
      <c r="DO109" s="60">
        <f t="shared" ca="1" si="83"/>
        <v>241.24391013269826</v>
      </c>
      <c r="DP109" s="51">
        <v>26</v>
      </c>
      <c r="EG109" s="26"/>
      <c r="EH109" s="26">
        <v>50</v>
      </c>
      <c r="EI109" s="26">
        <v>82.5</v>
      </c>
      <c r="EJ109" s="26">
        <v>65.5</v>
      </c>
      <c r="EK109" s="26">
        <v>55.9</v>
      </c>
      <c r="EL109" s="26">
        <v>41.2</v>
      </c>
      <c r="EM109" s="26">
        <v>33.799999999999997</v>
      </c>
      <c r="EN109" s="26">
        <v>29.2</v>
      </c>
      <c r="EO109" s="26">
        <v>20.100000000000001</v>
      </c>
      <c r="EP109" s="26">
        <v>13.2</v>
      </c>
      <c r="EQ109" s="26">
        <v>9</v>
      </c>
    </row>
    <row r="110" spans="2:208" ht="15.75" thickBot="1">
      <c r="B110" s="9"/>
      <c r="C110" s="10"/>
      <c r="D110" s="10"/>
      <c r="E110" s="10"/>
      <c r="F110" s="11"/>
      <c r="G110" s="39"/>
      <c r="H110" s="37"/>
      <c r="I110" s="37"/>
      <c r="J110" s="37"/>
      <c r="K110" s="37"/>
      <c r="L110" s="37"/>
      <c r="M110" s="37"/>
      <c r="N110" s="37"/>
      <c r="O110" s="37"/>
      <c r="P110" s="37"/>
      <c r="Q110" s="37"/>
      <c r="R110" s="37"/>
      <c r="S110" s="37"/>
      <c r="T110" s="37"/>
      <c r="U110" s="41"/>
      <c r="V110" s="41"/>
      <c r="W110" s="41"/>
      <c r="X110" s="41"/>
      <c r="Y110" s="41"/>
      <c r="Z110" s="41"/>
      <c r="AA110" s="41"/>
      <c r="AB110" s="41"/>
      <c r="AC110" s="41"/>
      <c r="AD110" s="41"/>
      <c r="AE110" s="57"/>
      <c r="AF110" s="42"/>
      <c r="AG110" s="41"/>
      <c r="AH110" s="41"/>
      <c r="AI110" s="41"/>
      <c r="AJ110" s="43"/>
      <c r="CH110" s="33">
        <v>28</v>
      </c>
      <c r="CI110" s="33">
        <f t="shared" ca="1" si="66"/>
        <v>124.25583333333333</v>
      </c>
      <c r="CJ110" s="33">
        <f t="shared" si="67"/>
        <v>16.487014591511301</v>
      </c>
      <c r="CK110" s="33">
        <f t="shared" ca="1" si="68"/>
        <v>0</v>
      </c>
      <c r="CL110" s="29">
        <v>27</v>
      </c>
      <c r="CN110" s="33">
        <v>28</v>
      </c>
      <c r="CO110" s="33">
        <f t="shared" ca="1" si="69"/>
        <v>137.56895833333334</v>
      </c>
      <c r="CP110" s="33">
        <f t="shared" si="70"/>
        <v>44.313755396654599</v>
      </c>
      <c r="CQ110" s="33">
        <f t="shared" ca="1" si="71"/>
        <v>0</v>
      </c>
      <c r="CR110" s="29">
        <v>27</v>
      </c>
      <c r="CT110" s="33">
        <v>28</v>
      </c>
      <c r="CU110" s="33">
        <f t="shared" ca="1" si="72"/>
        <v>164.19520833333331</v>
      </c>
      <c r="CV110" s="33">
        <f t="shared" si="73"/>
        <v>89.429414203799524</v>
      </c>
      <c r="CW110" s="33">
        <f t="shared" ca="1" si="74"/>
        <v>0</v>
      </c>
      <c r="CX110" s="29">
        <v>27</v>
      </c>
      <c r="CZ110" s="33">
        <v>28</v>
      </c>
      <c r="DA110" s="33">
        <f t="shared" ca="1" si="75"/>
        <v>208.57229166666667</v>
      </c>
      <c r="DB110" s="33">
        <f t="shared" si="76"/>
        <v>181.85679844459864</v>
      </c>
      <c r="DC110" s="33">
        <f t="shared" ca="1" si="77"/>
        <v>0</v>
      </c>
      <c r="DD110" s="29">
        <v>27</v>
      </c>
      <c r="DF110" s="60">
        <v>28</v>
      </c>
      <c r="DG110" s="60">
        <f t="shared" ca="1" si="78"/>
        <v>301.76416666666665</v>
      </c>
      <c r="DH110" s="60">
        <f t="shared" si="79"/>
        <v>316.24953733770104</v>
      </c>
      <c r="DI110" s="60">
        <f t="shared" ca="1" si="80"/>
        <v>14.485370671034389</v>
      </c>
      <c r="DJ110" s="51">
        <v>27</v>
      </c>
      <c r="DL110" s="60">
        <v>28</v>
      </c>
      <c r="DM110" s="60">
        <f t="shared" ca="1" si="81"/>
        <v>439.333125</v>
      </c>
      <c r="DN110" s="60">
        <f t="shared" si="82"/>
        <v>676.58812540485076</v>
      </c>
      <c r="DO110" s="60">
        <f t="shared" ca="1" si="83"/>
        <v>237.25500040485076</v>
      </c>
      <c r="DP110" s="51">
        <v>27</v>
      </c>
      <c r="EG110" s="26"/>
      <c r="EH110" s="26">
        <v>100</v>
      </c>
      <c r="EI110" s="26">
        <v>93.8</v>
      </c>
      <c r="EJ110" s="26">
        <v>74.900000000000006</v>
      </c>
      <c r="EK110" s="26">
        <v>64.3</v>
      </c>
      <c r="EL110" s="26">
        <v>47.9</v>
      </c>
      <c r="EM110" s="26">
        <v>39.5</v>
      </c>
      <c r="EN110" s="26">
        <v>34.200000000000003</v>
      </c>
      <c r="EO110" s="26">
        <v>23.5</v>
      </c>
      <c r="EP110" s="26">
        <v>15.4</v>
      </c>
      <c r="EQ110" s="26">
        <v>10</v>
      </c>
    </row>
    <row r="111" spans="2:208" ht="15.75" thickBot="1">
      <c r="B111" s="9"/>
      <c r="C111" s="10"/>
      <c r="D111" s="10"/>
      <c r="E111" s="10"/>
      <c r="F111" s="11"/>
      <c r="G111" s="39"/>
      <c r="H111" s="90" t="s">
        <v>102</v>
      </c>
      <c r="I111" s="88"/>
      <c r="J111" s="88"/>
      <c r="K111" s="88"/>
      <c r="L111" s="88"/>
      <c r="M111" s="88"/>
      <c r="N111" s="88"/>
      <c r="O111" s="88"/>
      <c r="P111" s="88"/>
      <c r="Q111" s="88"/>
      <c r="R111" s="88"/>
      <c r="S111" s="89"/>
      <c r="T111" s="37"/>
      <c r="U111" s="41"/>
      <c r="V111" s="41"/>
      <c r="W111" s="41"/>
      <c r="X111" s="41"/>
      <c r="Y111" s="41"/>
      <c r="Z111" s="41"/>
      <c r="AA111" s="41"/>
      <c r="AB111" s="41"/>
      <c r="AC111" s="41"/>
      <c r="AD111" s="41"/>
      <c r="AE111" s="57"/>
      <c r="AF111" s="42"/>
      <c r="AG111" s="41"/>
      <c r="AH111" s="41"/>
      <c r="AI111" s="41"/>
      <c r="AJ111" s="43"/>
      <c r="CH111" s="33">
        <v>29</v>
      </c>
      <c r="CI111" s="33">
        <f t="shared" ca="1" si="66"/>
        <v>128.69354166666665</v>
      </c>
      <c r="CJ111" s="33">
        <f t="shared" si="67"/>
        <v>16.537970470849292</v>
      </c>
      <c r="CK111" s="33">
        <f t="shared" ca="1" si="68"/>
        <v>0</v>
      </c>
      <c r="CL111" s="29">
        <v>28</v>
      </c>
      <c r="CN111" s="33">
        <v>29</v>
      </c>
      <c r="CO111" s="33">
        <f t="shared" ca="1" si="69"/>
        <v>142.00666666666666</v>
      </c>
      <c r="CP111" s="33">
        <f t="shared" si="70"/>
        <v>44.406720001890733</v>
      </c>
      <c r="CQ111" s="33">
        <f t="shared" ca="1" si="71"/>
        <v>0</v>
      </c>
      <c r="CR111" s="29">
        <v>28</v>
      </c>
      <c r="CT111" s="33">
        <v>29</v>
      </c>
      <c r="CU111" s="33">
        <f t="shared" ca="1" si="72"/>
        <v>168.63291666666666</v>
      </c>
      <c r="CV111" s="33">
        <f t="shared" si="73"/>
        <v>89.571412511304288</v>
      </c>
      <c r="CW111" s="33">
        <f t="shared" ca="1" si="74"/>
        <v>0</v>
      </c>
      <c r="CX111" s="29">
        <v>28</v>
      </c>
      <c r="CZ111" s="33">
        <v>29</v>
      </c>
      <c r="DA111" s="33">
        <f t="shared" ca="1" si="75"/>
        <v>213.01</v>
      </c>
      <c r="DB111" s="33">
        <f t="shared" si="76"/>
        <v>182.0751759507281</v>
      </c>
      <c r="DC111" s="33">
        <f t="shared" ca="1" si="77"/>
        <v>0</v>
      </c>
      <c r="DD111" s="29">
        <v>28</v>
      </c>
      <c r="DF111" s="60">
        <v>29</v>
      </c>
      <c r="DG111" s="60">
        <f t="shared" ca="1" si="78"/>
        <v>306.20187499999997</v>
      </c>
      <c r="DH111" s="60">
        <f t="shared" si="79"/>
        <v>316.55382952407166</v>
      </c>
      <c r="DI111" s="60">
        <f t="shared" ca="1" si="80"/>
        <v>10.351954524071687</v>
      </c>
      <c r="DJ111" s="51">
        <v>28</v>
      </c>
      <c r="DL111" s="60">
        <v>29</v>
      </c>
      <c r="DM111" s="60">
        <f t="shared" ca="1" si="81"/>
        <v>443.77083333333331</v>
      </c>
      <c r="DN111" s="60">
        <f t="shared" si="82"/>
        <v>677.03692401033675</v>
      </c>
      <c r="DO111" s="60">
        <f t="shared" ca="1" si="83"/>
        <v>233.26609067700343</v>
      </c>
      <c r="DP111" s="51">
        <v>28</v>
      </c>
      <c r="EG111" s="26"/>
      <c r="EH111" s="26">
        <v>500</v>
      </c>
      <c r="EI111" s="26">
        <v>126.2</v>
      </c>
      <c r="EJ111" s="26">
        <v>102.4</v>
      </c>
      <c r="EK111" s="26">
        <v>89.1</v>
      </c>
      <c r="EL111" s="26">
        <v>67.8</v>
      </c>
      <c r="EM111" s="26">
        <v>56.4</v>
      </c>
      <c r="EN111" s="26">
        <v>49</v>
      </c>
      <c r="EO111" s="26">
        <v>33.9</v>
      </c>
      <c r="EP111" s="26">
        <v>21.8</v>
      </c>
      <c r="EQ111" s="26">
        <v>14</v>
      </c>
    </row>
    <row r="112" spans="2:208" ht="15.75" thickBot="1">
      <c r="B112" s="9"/>
      <c r="C112" s="10"/>
      <c r="D112" s="10"/>
      <c r="E112" s="10"/>
      <c r="F112" s="11"/>
      <c r="G112" s="39"/>
      <c r="H112" s="144" t="s">
        <v>103</v>
      </c>
      <c r="I112" s="145"/>
      <c r="J112" s="145"/>
      <c r="K112" s="145"/>
      <c r="L112" s="145"/>
      <c r="M112" s="145"/>
      <c r="N112" s="145"/>
      <c r="O112" s="145"/>
      <c r="P112" s="91">
        <v>1</v>
      </c>
      <c r="Q112" s="89"/>
      <c r="R112" s="145" t="s">
        <v>0</v>
      </c>
      <c r="S112" s="192"/>
      <c r="T112" s="37"/>
      <c r="U112" s="41"/>
      <c r="V112" s="41"/>
      <c r="W112" s="41"/>
      <c r="X112" s="41"/>
      <c r="Y112" s="41"/>
      <c r="Z112" s="41"/>
      <c r="AA112" s="41"/>
      <c r="AB112" s="41"/>
      <c r="AC112" s="41"/>
      <c r="AD112" s="41"/>
      <c r="AE112" s="57"/>
      <c r="AF112" s="61" t="s">
        <v>128</v>
      </c>
      <c r="AG112" s="202">
        <f>P112/100</f>
        <v>0.01</v>
      </c>
      <c r="AH112" s="202"/>
      <c r="AI112" s="203" t="s">
        <v>129</v>
      </c>
      <c r="AJ112" s="204"/>
      <c r="CH112" s="33">
        <v>30</v>
      </c>
      <c r="CI112" s="33">
        <f t="shared" ca="1" si="66"/>
        <v>133.13124999999999</v>
      </c>
      <c r="CJ112" s="33">
        <f t="shared" si="67"/>
        <v>16.588926350187283</v>
      </c>
      <c r="CK112" s="33">
        <f t="shared" ca="1" si="68"/>
        <v>0</v>
      </c>
      <c r="CL112" s="29">
        <v>29</v>
      </c>
      <c r="CN112" s="33">
        <v>30</v>
      </c>
      <c r="CO112" s="33">
        <f t="shared" ca="1" si="69"/>
        <v>146.44437499999998</v>
      </c>
      <c r="CP112" s="33">
        <f t="shared" si="70"/>
        <v>44.499684607126873</v>
      </c>
      <c r="CQ112" s="33">
        <f t="shared" ca="1" si="71"/>
        <v>0</v>
      </c>
      <c r="CR112" s="29">
        <v>29</v>
      </c>
      <c r="CT112" s="33">
        <v>30</v>
      </c>
      <c r="CU112" s="33">
        <f t="shared" ca="1" si="72"/>
        <v>173.07062500000001</v>
      </c>
      <c r="CV112" s="33">
        <f t="shared" si="73"/>
        <v>89.713410818809052</v>
      </c>
      <c r="CW112" s="33">
        <f t="shared" ca="1" si="74"/>
        <v>0</v>
      </c>
      <c r="CX112" s="29">
        <v>29</v>
      </c>
      <c r="CZ112" s="33">
        <v>30</v>
      </c>
      <c r="DA112" s="33">
        <f t="shared" ca="1" si="75"/>
        <v>217.44770833333331</v>
      </c>
      <c r="DB112" s="33">
        <f t="shared" si="76"/>
        <v>182.29355345685755</v>
      </c>
      <c r="DC112" s="33">
        <f t="shared" ca="1" si="77"/>
        <v>0</v>
      </c>
      <c r="DD112" s="29">
        <v>29</v>
      </c>
      <c r="DF112" s="60">
        <v>30</v>
      </c>
      <c r="DG112" s="60">
        <f t="shared" ca="1" si="78"/>
        <v>310.63958333333335</v>
      </c>
      <c r="DH112" s="60">
        <f t="shared" si="79"/>
        <v>316.85812171044233</v>
      </c>
      <c r="DI112" s="60">
        <f t="shared" ca="1" si="80"/>
        <v>6.2185383771089846</v>
      </c>
      <c r="DJ112" s="51">
        <v>29</v>
      </c>
      <c r="DL112" s="60">
        <v>30</v>
      </c>
      <c r="DM112" s="60">
        <f t="shared" ca="1" si="81"/>
        <v>448.20854166666663</v>
      </c>
      <c r="DN112" s="60">
        <f t="shared" si="82"/>
        <v>677.48572261582274</v>
      </c>
      <c r="DO112" s="60">
        <f t="shared" ca="1" si="83"/>
        <v>229.2771809491561</v>
      </c>
      <c r="DP112" s="51">
        <v>29</v>
      </c>
      <c r="EG112" s="26"/>
      <c r="EH112" s="26">
        <v>1000</v>
      </c>
      <c r="EI112" s="26">
        <v>143.4</v>
      </c>
      <c r="EJ112" s="26">
        <v>117.2</v>
      </c>
      <c r="EK112" s="26">
        <v>102.5</v>
      </c>
      <c r="EL112" s="26">
        <v>78.7</v>
      </c>
      <c r="EM112" s="26">
        <v>65.7</v>
      </c>
      <c r="EN112" s="26">
        <v>57.3</v>
      </c>
      <c r="EO112" s="26">
        <v>39.700000000000003</v>
      </c>
      <c r="EP112" s="26">
        <v>25.3</v>
      </c>
      <c r="EQ112" s="26">
        <v>16</v>
      </c>
    </row>
    <row r="113" spans="2:147" ht="15.75" thickBot="1">
      <c r="B113" s="9"/>
      <c r="C113" s="10"/>
      <c r="D113" s="10"/>
      <c r="E113" s="10"/>
      <c r="F113" s="11"/>
      <c r="G113" s="39"/>
      <c r="H113" s="71" t="s">
        <v>104</v>
      </c>
      <c r="I113" s="72"/>
      <c r="J113" s="72"/>
      <c r="K113" s="72"/>
      <c r="L113" s="72"/>
      <c r="M113" s="72"/>
      <c r="N113" s="72"/>
      <c r="O113" s="72"/>
      <c r="P113" s="271">
        <v>100</v>
      </c>
      <c r="Q113" s="270"/>
      <c r="R113" s="72" t="s">
        <v>1</v>
      </c>
      <c r="S113" s="191"/>
      <c r="T113" s="37"/>
      <c r="U113" s="41"/>
      <c r="V113" s="41"/>
      <c r="W113" s="41"/>
      <c r="X113" s="41"/>
      <c r="Y113" s="41"/>
      <c r="Z113" s="41"/>
      <c r="AA113" s="41"/>
      <c r="AB113" s="41"/>
      <c r="AC113" s="41"/>
      <c r="AD113" s="41"/>
      <c r="AE113" s="57"/>
      <c r="AF113" s="205" t="s">
        <v>130</v>
      </c>
      <c r="AG113" s="206"/>
      <c r="AH113" s="206"/>
      <c r="AI113" s="207">
        <f>100/P112</f>
        <v>100</v>
      </c>
      <c r="AJ113" s="208"/>
      <c r="CH113" s="33">
        <v>31</v>
      </c>
      <c r="CI113" s="33">
        <f t="shared" ca="1" si="66"/>
        <v>137.56895833333334</v>
      </c>
      <c r="CJ113" s="33">
        <f t="shared" si="67"/>
        <v>16.639882229525277</v>
      </c>
      <c r="CK113" s="33">
        <f t="shared" ca="1" si="68"/>
        <v>0</v>
      </c>
      <c r="CL113" s="29">
        <v>30</v>
      </c>
      <c r="CN113" s="33">
        <v>31</v>
      </c>
      <c r="CO113" s="33">
        <f t="shared" ca="1" si="69"/>
        <v>150.88208333333333</v>
      </c>
      <c r="CP113" s="33">
        <f t="shared" si="70"/>
        <v>44.592649212363007</v>
      </c>
      <c r="CQ113" s="33">
        <f t="shared" ca="1" si="71"/>
        <v>0</v>
      </c>
      <c r="CR113" s="29">
        <v>30</v>
      </c>
      <c r="CT113" s="33">
        <v>31</v>
      </c>
      <c r="CU113" s="33">
        <f t="shared" ca="1" si="72"/>
        <v>177.50833333333333</v>
      </c>
      <c r="CV113" s="33">
        <f t="shared" si="73"/>
        <v>89.85540912631383</v>
      </c>
      <c r="CW113" s="33">
        <f t="shared" ca="1" si="74"/>
        <v>0</v>
      </c>
      <c r="CX113" s="29">
        <v>30</v>
      </c>
      <c r="CZ113" s="33">
        <v>31</v>
      </c>
      <c r="DA113" s="33">
        <f t="shared" ca="1" si="75"/>
        <v>221.88541666666666</v>
      </c>
      <c r="DB113" s="33">
        <f t="shared" si="76"/>
        <v>182.51193096298701</v>
      </c>
      <c r="DC113" s="33">
        <f t="shared" ca="1" si="77"/>
        <v>0</v>
      </c>
      <c r="DD113" s="29">
        <v>30</v>
      </c>
      <c r="DF113" s="60">
        <v>31</v>
      </c>
      <c r="DG113" s="60">
        <f t="shared" ca="1" si="78"/>
        <v>315.07729166666667</v>
      </c>
      <c r="DH113" s="60">
        <f t="shared" si="79"/>
        <v>317.16241389681301</v>
      </c>
      <c r="DI113" s="60">
        <f t="shared" ca="1" si="80"/>
        <v>2.0851222301463395</v>
      </c>
      <c r="DJ113" s="51">
        <v>30</v>
      </c>
      <c r="DL113" s="60">
        <v>31</v>
      </c>
      <c r="DM113" s="60">
        <f t="shared" ca="1" si="81"/>
        <v>452.64625000000001</v>
      </c>
      <c r="DN113" s="60">
        <f t="shared" si="82"/>
        <v>677.93452122130873</v>
      </c>
      <c r="DO113" s="60">
        <f t="shared" ca="1" si="83"/>
        <v>225.28827122130872</v>
      </c>
      <c r="DP113" s="51">
        <v>30</v>
      </c>
      <c r="EP113" s="25"/>
      <c r="EQ113" s="25"/>
    </row>
    <row r="114" spans="2:147" ht="15.75" thickBot="1">
      <c r="B114" s="9"/>
      <c r="C114" s="10"/>
      <c r="D114" s="10"/>
      <c r="E114" s="10"/>
      <c r="F114" s="11"/>
      <c r="G114" s="58"/>
      <c r="H114" s="37"/>
      <c r="I114" s="37"/>
      <c r="J114" s="37"/>
      <c r="K114" s="37"/>
      <c r="L114" s="37"/>
      <c r="M114" s="37"/>
      <c r="N114" s="37"/>
      <c r="O114" s="37"/>
      <c r="P114" s="37"/>
      <c r="Q114" s="37"/>
      <c r="R114" s="37"/>
      <c r="S114" s="37"/>
      <c r="T114" s="37"/>
      <c r="U114" s="41"/>
      <c r="V114" s="41"/>
      <c r="W114" s="41"/>
      <c r="X114" s="41"/>
      <c r="Y114" s="41"/>
      <c r="Z114" s="41"/>
      <c r="AA114" s="41"/>
      <c r="AB114" s="41"/>
      <c r="AC114" s="41"/>
      <c r="AD114" s="41"/>
      <c r="AE114" s="57"/>
      <c r="AF114" s="42"/>
      <c r="AG114" s="41"/>
      <c r="AH114" s="41"/>
      <c r="AI114" s="41"/>
      <c r="AJ114" s="43"/>
      <c r="CH114" s="33">
        <v>32</v>
      </c>
      <c r="CI114" s="33">
        <f t="shared" ca="1" si="66"/>
        <v>142.00666666666666</v>
      </c>
      <c r="CJ114" s="33">
        <f t="shared" si="67"/>
        <v>16.690838108863268</v>
      </c>
      <c r="CK114" s="33">
        <f t="shared" ca="1" si="68"/>
        <v>0</v>
      </c>
      <c r="CL114" s="29">
        <v>31</v>
      </c>
      <c r="CN114" s="33">
        <v>32</v>
      </c>
      <c r="CO114" s="33">
        <f t="shared" ca="1" si="69"/>
        <v>155.31979166666667</v>
      </c>
      <c r="CP114" s="33">
        <f t="shared" si="70"/>
        <v>44.68561381759914</v>
      </c>
      <c r="CQ114" s="33">
        <f t="shared" ca="1" si="71"/>
        <v>0</v>
      </c>
      <c r="CR114" s="29">
        <v>31</v>
      </c>
      <c r="CT114" s="33">
        <v>32</v>
      </c>
      <c r="CU114" s="33">
        <f t="shared" ca="1" si="72"/>
        <v>181.94604166666664</v>
      </c>
      <c r="CV114" s="33">
        <f t="shared" si="73"/>
        <v>89.997407433818594</v>
      </c>
      <c r="CW114" s="33">
        <f t="shared" ca="1" si="74"/>
        <v>0</v>
      </c>
      <c r="CX114" s="29">
        <v>31</v>
      </c>
      <c r="CZ114" s="33">
        <v>32</v>
      </c>
      <c r="DA114" s="33">
        <f t="shared" ca="1" si="75"/>
        <v>226.323125</v>
      </c>
      <c r="DB114" s="33">
        <f t="shared" si="76"/>
        <v>182.73030846911647</v>
      </c>
      <c r="DC114" s="33">
        <f t="shared" ca="1" si="77"/>
        <v>0</v>
      </c>
      <c r="DD114" s="29">
        <v>31</v>
      </c>
      <c r="DF114" s="60">
        <v>32</v>
      </c>
      <c r="DG114" s="60">
        <f t="shared" ca="1" si="78"/>
        <v>319.51499999999999</v>
      </c>
      <c r="DH114" s="60">
        <f t="shared" si="79"/>
        <v>317.46670608318362</v>
      </c>
      <c r="DI114" s="60">
        <f t="shared" ca="1" si="80"/>
        <v>0</v>
      </c>
      <c r="DJ114" s="51">
        <v>31</v>
      </c>
      <c r="DL114" s="60">
        <v>32</v>
      </c>
      <c r="DM114" s="60">
        <f t="shared" ca="1" si="81"/>
        <v>457.08395833333333</v>
      </c>
      <c r="DN114" s="60">
        <f t="shared" si="82"/>
        <v>678.38331982679472</v>
      </c>
      <c r="DO114" s="60">
        <f t="shared" ca="1" si="83"/>
        <v>221.29936149346139</v>
      </c>
      <c r="DP114" s="51">
        <v>31</v>
      </c>
      <c r="EP114" s="25"/>
      <c r="EQ114" s="25"/>
    </row>
    <row r="115" spans="2:147" ht="15.75" thickBot="1">
      <c r="B115" s="9"/>
      <c r="C115" s="10"/>
      <c r="D115" s="10"/>
      <c r="E115" s="10"/>
      <c r="F115" s="11"/>
      <c r="G115" s="58"/>
      <c r="H115" s="90" t="s">
        <v>106</v>
      </c>
      <c r="I115" s="88"/>
      <c r="J115" s="88"/>
      <c r="K115" s="88"/>
      <c r="L115" s="88"/>
      <c r="M115" s="88"/>
      <c r="N115" s="88"/>
      <c r="O115" s="88"/>
      <c r="P115" s="88"/>
      <c r="Q115" s="89"/>
      <c r="R115" s="37"/>
      <c r="S115" s="37"/>
      <c r="T115" s="37"/>
      <c r="U115" s="41"/>
      <c r="V115" s="41"/>
      <c r="W115" s="41"/>
      <c r="X115" s="41"/>
      <c r="Y115" s="41"/>
      <c r="Z115" s="41"/>
      <c r="AA115" s="41"/>
      <c r="AB115" s="41"/>
      <c r="AC115" s="41"/>
      <c r="AD115" s="41"/>
      <c r="AE115" s="57"/>
      <c r="AF115" s="42"/>
      <c r="AG115" s="41"/>
      <c r="AH115" s="41"/>
      <c r="AI115" s="41"/>
      <c r="AJ115" s="43"/>
      <c r="CH115" s="33">
        <v>33</v>
      </c>
      <c r="CI115" s="33">
        <f t="shared" ref="CI115:CI146" ca="1" si="84">$CJ$27*CH115</f>
        <v>146.44437499999998</v>
      </c>
      <c r="CJ115" s="33">
        <f t="shared" ref="CJ115:CJ146" si="85">(2.66*$CJ$31^1.25)*((6.74*($CJ$22/100)^0.7)+0.4+(CH115/$CJ$30)*$CJ$23)*1000</f>
        <v>16.741793988201263</v>
      </c>
      <c r="CK115" s="33">
        <f t="shared" ca="1" si="68"/>
        <v>0</v>
      </c>
      <c r="CL115" s="29">
        <v>32</v>
      </c>
      <c r="CN115" s="33">
        <v>33</v>
      </c>
      <c r="CO115" s="33">
        <f t="shared" ca="1" si="69"/>
        <v>159.75749999999999</v>
      </c>
      <c r="CP115" s="33">
        <f t="shared" si="70"/>
        <v>44.778578422835281</v>
      </c>
      <c r="CQ115" s="33">
        <f t="shared" ca="1" si="71"/>
        <v>0</v>
      </c>
      <c r="CR115" s="29">
        <v>32</v>
      </c>
      <c r="CT115" s="33">
        <v>33</v>
      </c>
      <c r="CU115" s="33">
        <f t="shared" ca="1" si="72"/>
        <v>186.38374999999999</v>
      </c>
      <c r="CV115" s="33">
        <f t="shared" si="73"/>
        <v>90.139405741323372</v>
      </c>
      <c r="CW115" s="33">
        <f t="shared" ca="1" si="74"/>
        <v>0</v>
      </c>
      <c r="CX115" s="29">
        <v>32</v>
      </c>
      <c r="CZ115" s="33">
        <v>33</v>
      </c>
      <c r="DA115" s="33">
        <f t="shared" ca="1" si="75"/>
        <v>230.76083333333332</v>
      </c>
      <c r="DB115" s="33">
        <f t="shared" si="76"/>
        <v>182.94868597524592</v>
      </c>
      <c r="DC115" s="33">
        <f t="shared" ca="1" si="77"/>
        <v>0</v>
      </c>
      <c r="DD115" s="29">
        <v>32</v>
      </c>
      <c r="DF115" s="60">
        <v>33</v>
      </c>
      <c r="DG115" s="60">
        <f t="shared" ca="1" si="78"/>
        <v>323.95270833333331</v>
      </c>
      <c r="DH115" s="60">
        <f t="shared" si="79"/>
        <v>317.7709982695543</v>
      </c>
      <c r="DI115" s="60">
        <f t="shared" ca="1" si="80"/>
        <v>0</v>
      </c>
      <c r="DJ115" s="51">
        <v>32</v>
      </c>
      <c r="DL115" s="60">
        <v>33</v>
      </c>
      <c r="DM115" s="60">
        <f t="shared" ca="1" si="81"/>
        <v>461.52166666666665</v>
      </c>
      <c r="DN115" s="60">
        <f t="shared" si="82"/>
        <v>678.83211843228059</v>
      </c>
      <c r="DO115" s="60">
        <f t="shared" ca="1" si="83"/>
        <v>217.31045176561395</v>
      </c>
      <c r="DP115" s="51">
        <v>32</v>
      </c>
      <c r="EG115" s="26" t="s">
        <v>36</v>
      </c>
      <c r="EH115" s="26" t="s">
        <v>16</v>
      </c>
      <c r="EI115" s="26" t="s">
        <v>37</v>
      </c>
      <c r="EJ115" s="26"/>
      <c r="EK115" s="26"/>
      <c r="EL115" s="26"/>
      <c r="EM115" s="26"/>
      <c r="EN115" s="26"/>
      <c r="EO115" s="26"/>
      <c r="EP115" s="26"/>
      <c r="EQ115" s="26"/>
    </row>
    <row r="116" spans="2:147" ht="15.75" thickBot="1">
      <c r="B116" s="9"/>
      <c r="C116" s="10"/>
      <c r="D116" s="10"/>
      <c r="E116" s="10"/>
      <c r="F116" s="11"/>
      <c r="G116" s="58"/>
      <c r="H116" s="80" t="s">
        <v>107</v>
      </c>
      <c r="I116" s="139"/>
      <c r="J116" s="139"/>
      <c r="K116" s="139"/>
      <c r="L116" s="140"/>
      <c r="M116" s="265" t="s">
        <v>55</v>
      </c>
      <c r="N116" s="266"/>
      <c r="O116" s="266"/>
      <c r="P116" s="266"/>
      <c r="Q116" s="267"/>
      <c r="R116" s="37"/>
      <c r="S116" s="37"/>
      <c r="T116" s="37"/>
      <c r="U116" s="41"/>
      <c r="V116" s="41"/>
      <c r="W116" s="41"/>
      <c r="X116" s="41"/>
      <c r="Y116" s="41"/>
      <c r="Z116" s="41"/>
      <c r="AA116" s="41"/>
      <c r="AB116" s="41"/>
      <c r="AC116" s="41"/>
      <c r="AD116" s="41"/>
      <c r="AE116" s="57"/>
      <c r="AF116" s="42"/>
      <c r="AG116" s="41"/>
      <c r="AH116" s="41"/>
      <c r="AI116" s="41"/>
      <c r="AJ116" s="43"/>
      <c r="CH116" s="33">
        <v>34</v>
      </c>
      <c r="CI116" s="33">
        <f t="shared" ca="1" si="84"/>
        <v>150.88208333333333</v>
      </c>
      <c r="CJ116" s="33">
        <f t="shared" si="85"/>
        <v>16.79274986753925</v>
      </c>
      <c r="CK116" s="33">
        <f t="shared" ca="1" si="68"/>
        <v>0</v>
      </c>
      <c r="CL116" s="29">
        <v>33</v>
      </c>
      <c r="CN116" s="33">
        <v>34</v>
      </c>
      <c r="CO116" s="33">
        <f t="shared" ca="1" si="69"/>
        <v>164.19520833333331</v>
      </c>
      <c r="CP116" s="33">
        <f t="shared" si="70"/>
        <v>44.871543028071414</v>
      </c>
      <c r="CQ116" s="33">
        <f t="shared" ca="1" si="71"/>
        <v>0</v>
      </c>
      <c r="CR116" s="29">
        <v>33</v>
      </c>
      <c r="CT116" s="33">
        <v>34</v>
      </c>
      <c r="CU116" s="33">
        <f t="shared" ca="1" si="72"/>
        <v>190.82145833333334</v>
      </c>
      <c r="CV116" s="33">
        <f t="shared" si="73"/>
        <v>90.281404048828136</v>
      </c>
      <c r="CW116" s="33">
        <f t="shared" ca="1" si="74"/>
        <v>0</v>
      </c>
      <c r="CX116" s="29">
        <v>33</v>
      </c>
      <c r="CZ116" s="33">
        <v>34</v>
      </c>
      <c r="DA116" s="33">
        <f t="shared" ca="1" si="75"/>
        <v>235.19854166666664</v>
      </c>
      <c r="DB116" s="33">
        <f t="shared" si="76"/>
        <v>183.16706348137535</v>
      </c>
      <c r="DC116" s="33">
        <f t="shared" ca="1" si="77"/>
        <v>0</v>
      </c>
      <c r="DD116" s="29">
        <v>33</v>
      </c>
      <c r="DF116" s="60">
        <v>34</v>
      </c>
      <c r="DG116" s="60">
        <f t="shared" ca="1" si="78"/>
        <v>328.39041666666662</v>
      </c>
      <c r="DH116" s="60">
        <f t="shared" si="79"/>
        <v>318.07529045592491</v>
      </c>
      <c r="DI116" s="60">
        <f t="shared" ca="1" si="80"/>
        <v>0</v>
      </c>
      <c r="DJ116" s="51">
        <v>33</v>
      </c>
      <c r="DL116" s="60">
        <v>34</v>
      </c>
      <c r="DM116" s="60">
        <f t="shared" ca="1" si="81"/>
        <v>465.95937499999997</v>
      </c>
      <c r="DN116" s="60">
        <f t="shared" si="82"/>
        <v>679.2809170377667</v>
      </c>
      <c r="DO116" s="60">
        <f t="shared" ca="1" si="83"/>
        <v>213.32154203776673</v>
      </c>
      <c r="DP116" s="51">
        <v>33</v>
      </c>
      <c r="EG116" s="26"/>
      <c r="EH116" s="26"/>
      <c r="EI116" s="26">
        <v>5</v>
      </c>
      <c r="EJ116" s="26">
        <v>10</v>
      </c>
      <c r="EK116" s="26">
        <v>15</v>
      </c>
      <c r="EL116" s="26">
        <v>30</v>
      </c>
      <c r="EM116" s="26">
        <v>45</v>
      </c>
      <c r="EN116" s="26">
        <v>60</v>
      </c>
      <c r="EO116" s="26">
        <v>120</v>
      </c>
      <c r="EP116" s="26">
        <v>240</v>
      </c>
      <c r="EQ116" s="26">
        <v>480</v>
      </c>
    </row>
    <row r="117" spans="2:147" ht="15.75" thickBot="1">
      <c r="B117" s="9"/>
      <c r="C117" s="10"/>
      <c r="D117" s="10"/>
      <c r="E117" s="10"/>
      <c r="F117" s="11"/>
      <c r="G117" s="58"/>
      <c r="H117" s="71" t="str">
        <f>IF(M116="Custom","","Channel Size")</f>
        <v>Channel Size</v>
      </c>
      <c r="I117" s="86"/>
      <c r="J117" s="86"/>
      <c r="K117" s="86"/>
      <c r="L117" s="87"/>
      <c r="M117" s="268">
        <v>600</v>
      </c>
      <c r="N117" s="269"/>
      <c r="O117" s="269"/>
      <c r="P117" s="269"/>
      <c r="Q117" s="270"/>
      <c r="R117" s="37"/>
      <c r="S117" s="37"/>
      <c r="T117" s="37"/>
      <c r="U117" s="41"/>
      <c r="V117" s="41"/>
      <c r="W117" s="41"/>
      <c r="X117" s="41"/>
      <c r="Y117" s="41"/>
      <c r="Z117" s="41"/>
      <c r="AA117" s="41"/>
      <c r="AB117" s="41"/>
      <c r="AC117" s="41"/>
      <c r="AD117" s="41"/>
      <c r="AE117" s="57"/>
      <c r="AF117" s="42"/>
      <c r="AG117" s="41"/>
      <c r="AH117" s="41"/>
      <c r="AI117" s="41"/>
      <c r="AJ117" s="43"/>
      <c r="CH117" s="33">
        <v>35</v>
      </c>
      <c r="CI117" s="33">
        <f t="shared" ca="1" si="84"/>
        <v>155.31979166666667</v>
      </c>
      <c r="CJ117" s="33">
        <f t="shared" si="85"/>
        <v>16.843705746877244</v>
      </c>
      <c r="CK117" s="33">
        <f t="shared" ca="1" si="68"/>
        <v>0</v>
      </c>
      <c r="CL117" s="29">
        <v>34</v>
      </c>
      <c r="CN117" s="33">
        <v>35</v>
      </c>
      <c r="CO117" s="33">
        <f t="shared" ca="1" si="69"/>
        <v>168.63291666666666</v>
      </c>
      <c r="CP117" s="33">
        <f t="shared" si="70"/>
        <v>44.964507633307548</v>
      </c>
      <c r="CQ117" s="33">
        <f t="shared" ca="1" si="71"/>
        <v>0</v>
      </c>
      <c r="CR117" s="29">
        <v>34</v>
      </c>
      <c r="CT117" s="33">
        <v>35</v>
      </c>
      <c r="CU117" s="33">
        <f t="shared" ca="1" si="72"/>
        <v>195.25916666666666</v>
      </c>
      <c r="CV117" s="33">
        <f t="shared" si="73"/>
        <v>90.4234023563329</v>
      </c>
      <c r="CW117" s="33">
        <f t="shared" ca="1" si="74"/>
        <v>0</v>
      </c>
      <c r="CX117" s="29">
        <v>34</v>
      </c>
      <c r="CZ117" s="33">
        <v>35</v>
      </c>
      <c r="DA117" s="33">
        <f t="shared" ca="1" si="75"/>
        <v>239.63624999999999</v>
      </c>
      <c r="DB117" s="33">
        <f t="shared" si="76"/>
        <v>183.38544098750481</v>
      </c>
      <c r="DC117" s="33">
        <f t="shared" ca="1" si="77"/>
        <v>0</v>
      </c>
      <c r="DD117" s="29">
        <v>34</v>
      </c>
      <c r="DF117" s="60">
        <v>35</v>
      </c>
      <c r="DG117" s="60">
        <f t="shared" ca="1" si="78"/>
        <v>332.828125</v>
      </c>
      <c r="DH117" s="60">
        <f t="shared" si="79"/>
        <v>318.37958264229553</v>
      </c>
      <c r="DI117" s="60">
        <f t="shared" ca="1" si="80"/>
        <v>0</v>
      </c>
      <c r="DJ117" s="51">
        <v>34</v>
      </c>
      <c r="DL117" s="60">
        <v>35</v>
      </c>
      <c r="DM117" s="60">
        <f t="shared" ca="1" si="81"/>
        <v>470.39708333333328</v>
      </c>
      <c r="DN117" s="60">
        <f t="shared" si="82"/>
        <v>679.72971564325258</v>
      </c>
      <c r="DO117" s="60">
        <f t="shared" ca="1" si="83"/>
        <v>209.33263230991929</v>
      </c>
      <c r="DP117" s="51">
        <v>34</v>
      </c>
      <c r="EG117" s="26" t="s">
        <v>38</v>
      </c>
      <c r="EH117" s="26">
        <v>1</v>
      </c>
      <c r="EI117" s="26">
        <v>28.3</v>
      </c>
      <c r="EJ117" s="26">
        <v>21.6</v>
      </c>
      <c r="EK117" s="26">
        <v>17.7</v>
      </c>
      <c r="EL117" s="26">
        <v>12.4</v>
      </c>
      <c r="EM117" s="26">
        <v>10</v>
      </c>
      <c r="EN117" s="26">
        <v>8.6</v>
      </c>
      <c r="EO117" s="26">
        <v>6</v>
      </c>
      <c r="EP117" s="26">
        <v>4.2</v>
      </c>
      <c r="EQ117" s="26">
        <v>3</v>
      </c>
    </row>
    <row r="118" spans="2:147">
      <c r="B118" s="9"/>
      <c r="C118" s="10"/>
      <c r="D118" s="10"/>
      <c r="E118" s="10"/>
      <c r="F118" s="11"/>
      <c r="G118" s="58"/>
      <c r="H118" s="37"/>
      <c r="I118" s="37"/>
      <c r="J118" s="37"/>
      <c r="K118" s="37"/>
      <c r="L118" s="37"/>
      <c r="M118" s="37"/>
      <c r="N118" s="37"/>
      <c r="O118" s="37"/>
      <c r="P118" s="37"/>
      <c r="Q118" s="37"/>
      <c r="R118" s="37"/>
      <c r="S118" s="37"/>
      <c r="T118" s="37"/>
      <c r="U118" s="41"/>
      <c r="V118" s="41"/>
      <c r="W118" s="41"/>
      <c r="X118" s="41"/>
      <c r="Y118" s="41"/>
      <c r="Z118" s="41"/>
      <c r="AA118" s="41"/>
      <c r="AB118" s="41"/>
      <c r="AC118" s="41"/>
      <c r="AD118" s="41"/>
      <c r="AE118" s="57"/>
      <c r="AF118" s="42"/>
      <c r="AG118" s="41"/>
      <c r="AH118" s="41"/>
      <c r="AI118" s="41"/>
      <c r="AJ118" s="43"/>
      <c r="CH118" s="33">
        <v>36</v>
      </c>
      <c r="CI118" s="33">
        <f t="shared" ca="1" si="84"/>
        <v>159.75749999999999</v>
      </c>
      <c r="CJ118" s="33">
        <f t="shared" si="85"/>
        <v>16.894661626215239</v>
      </c>
      <c r="CK118" s="33">
        <f t="shared" ca="1" si="68"/>
        <v>0</v>
      </c>
      <c r="CL118" s="29">
        <v>35</v>
      </c>
      <c r="CN118" s="33">
        <v>36</v>
      </c>
      <c r="CO118" s="33">
        <f t="shared" ca="1" si="69"/>
        <v>173.07062500000001</v>
      </c>
      <c r="CP118" s="33">
        <f t="shared" si="70"/>
        <v>45.057472238543681</v>
      </c>
      <c r="CQ118" s="33">
        <f t="shared" ca="1" si="71"/>
        <v>0</v>
      </c>
      <c r="CR118" s="29">
        <v>35</v>
      </c>
      <c r="CT118" s="33">
        <v>36</v>
      </c>
      <c r="CU118" s="33">
        <f t="shared" ca="1" si="72"/>
        <v>199.69687499999998</v>
      </c>
      <c r="CV118" s="33">
        <f t="shared" si="73"/>
        <v>90.565400663837664</v>
      </c>
      <c r="CW118" s="33">
        <f t="shared" ca="1" si="74"/>
        <v>0</v>
      </c>
      <c r="CX118" s="29">
        <v>35</v>
      </c>
      <c r="CZ118" s="33">
        <v>36</v>
      </c>
      <c r="DA118" s="33">
        <f t="shared" ca="1" si="75"/>
        <v>244.07395833333334</v>
      </c>
      <c r="DB118" s="33">
        <f t="shared" si="76"/>
        <v>183.60381849363426</v>
      </c>
      <c r="DC118" s="33">
        <f t="shared" ca="1" si="77"/>
        <v>0</v>
      </c>
      <c r="DD118" s="29">
        <v>35</v>
      </c>
      <c r="DF118" s="60">
        <v>36</v>
      </c>
      <c r="DG118" s="60">
        <f t="shared" ca="1" si="78"/>
        <v>337.26583333333332</v>
      </c>
      <c r="DH118" s="60">
        <f t="shared" si="79"/>
        <v>318.68387482866621</v>
      </c>
      <c r="DI118" s="60">
        <f t="shared" ca="1" si="80"/>
        <v>0</v>
      </c>
      <c r="DJ118" s="51">
        <v>35</v>
      </c>
      <c r="DL118" s="60">
        <v>36</v>
      </c>
      <c r="DM118" s="60">
        <f t="shared" ca="1" si="81"/>
        <v>474.83479166666666</v>
      </c>
      <c r="DN118" s="60">
        <f t="shared" si="82"/>
        <v>680.17851424873857</v>
      </c>
      <c r="DO118" s="60">
        <f t="shared" ca="1" si="83"/>
        <v>205.3437225820719</v>
      </c>
      <c r="DP118" s="51">
        <v>35</v>
      </c>
      <c r="EG118" s="26">
        <v>14</v>
      </c>
      <c r="EH118" s="26">
        <v>2</v>
      </c>
      <c r="EI118" s="26">
        <v>33.299999999999997</v>
      </c>
      <c r="EJ118" s="26">
        <v>26</v>
      </c>
      <c r="EK118" s="26">
        <v>21.9</v>
      </c>
      <c r="EL118" s="26">
        <v>15.8</v>
      </c>
      <c r="EM118" s="26">
        <v>12.9</v>
      </c>
      <c r="EN118" s="26">
        <v>11.1</v>
      </c>
      <c r="EO118" s="26">
        <v>7.7</v>
      </c>
      <c r="EP118" s="26">
        <v>5.3</v>
      </c>
      <c r="EQ118" s="26">
        <v>4</v>
      </c>
    </row>
    <row r="119" spans="2:147">
      <c r="B119" s="9"/>
      <c r="C119" s="10"/>
      <c r="D119" s="10"/>
      <c r="E119" s="10"/>
      <c r="F119" s="11"/>
      <c r="G119" s="58"/>
      <c r="H119" s="125" t="s">
        <v>109</v>
      </c>
      <c r="I119" s="138"/>
      <c r="J119" s="138"/>
      <c r="K119" s="138"/>
      <c r="L119" s="138"/>
      <c r="M119" s="138"/>
      <c r="N119" s="138"/>
      <c r="O119" s="136"/>
      <c r="P119" s="136"/>
      <c r="Q119" s="136"/>
      <c r="R119" s="136"/>
      <c r="S119" s="136"/>
      <c r="T119" s="136"/>
      <c r="U119" s="136"/>
      <c r="V119" s="137"/>
      <c r="W119" s="122">
        <f ca="1">W75</f>
        <v>443.77083333333331</v>
      </c>
      <c r="X119" s="123"/>
      <c r="Y119" s="124"/>
      <c r="Z119" s="125" t="s">
        <v>2</v>
      </c>
      <c r="AA119" s="126"/>
      <c r="AB119" s="41"/>
      <c r="AC119" s="41"/>
      <c r="AD119" s="41"/>
      <c r="AE119" s="36"/>
      <c r="AF119" s="42"/>
      <c r="AG119" s="41"/>
      <c r="AH119" s="41"/>
      <c r="AI119" s="41"/>
      <c r="AJ119" s="43"/>
      <c r="CH119" s="33">
        <v>37</v>
      </c>
      <c r="CI119" s="33">
        <f t="shared" ca="1" si="84"/>
        <v>164.19520833333331</v>
      </c>
      <c r="CJ119" s="33">
        <f t="shared" si="85"/>
        <v>16.945617505553226</v>
      </c>
      <c r="CK119" s="33">
        <f t="shared" ca="1" si="68"/>
        <v>0</v>
      </c>
      <c r="CL119" s="29">
        <v>36</v>
      </c>
      <c r="CN119" s="33">
        <v>37</v>
      </c>
      <c r="CO119" s="33">
        <f t="shared" ca="1" si="69"/>
        <v>177.50833333333333</v>
      </c>
      <c r="CP119" s="33">
        <f t="shared" si="70"/>
        <v>45.150436843779815</v>
      </c>
      <c r="CQ119" s="33">
        <f t="shared" ca="1" si="71"/>
        <v>0</v>
      </c>
      <c r="CR119" s="29">
        <v>36</v>
      </c>
      <c r="CT119" s="33">
        <v>37</v>
      </c>
      <c r="CU119" s="33">
        <f t="shared" ca="1" si="72"/>
        <v>204.13458333333332</v>
      </c>
      <c r="CV119" s="33">
        <f t="shared" si="73"/>
        <v>90.707398971342442</v>
      </c>
      <c r="CW119" s="33">
        <f t="shared" ca="1" si="74"/>
        <v>0</v>
      </c>
      <c r="CX119" s="29">
        <v>36</v>
      </c>
      <c r="CZ119" s="33">
        <v>37</v>
      </c>
      <c r="DA119" s="33">
        <f t="shared" ca="1" si="75"/>
        <v>248.51166666666666</v>
      </c>
      <c r="DB119" s="33">
        <f t="shared" si="76"/>
        <v>183.82219599976375</v>
      </c>
      <c r="DC119" s="33">
        <f t="shared" ca="1" si="77"/>
        <v>0</v>
      </c>
      <c r="DD119" s="29">
        <v>36</v>
      </c>
      <c r="DF119" s="60">
        <v>37</v>
      </c>
      <c r="DG119" s="60">
        <f t="shared" ca="1" si="78"/>
        <v>341.70354166666664</v>
      </c>
      <c r="DH119" s="60">
        <f t="shared" si="79"/>
        <v>318.98816701503682</v>
      </c>
      <c r="DI119" s="60">
        <f t="shared" ca="1" si="80"/>
        <v>0</v>
      </c>
      <c r="DJ119" s="51">
        <v>36</v>
      </c>
      <c r="DL119" s="60">
        <v>37</v>
      </c>
      <c r="DM119" s="60">
        <f t="shared" ca="1" si="81"/>
        <v>479.27249999999998</v>
      </c>
      <c r="DN119" s="60">
        <f t="shared" si="82"/>
        <v>680.62731285422456</v>
      </c>
      <c r="DO119" s="60">
        <f t="shared" ca="1" si="83"/>
        <v>201.35481285422458</v>
      </c>
      <c r="DP119" s="51">
        <v>36</v>
      </c>
      <c r="EG119" s="26" t="s">
        <v>39</v>
      </c>
      <c r="EH119" s="26">
        <v>5</v>
      </c>
      <c r="EI119" s="26">
        <v>44.4</v>
      </c>
      <c r="EJ119" s="26">
        <v>34.4</v>
      </c>
      <c r="EK119" s="26">
        <v>28.9</v>
      </c>
      <c r="EL119" s="26">
        <v>20.7</v>
      </c>
      <c r="EM119" s="26">
        <v>16.7</v>
      </c>
      <c r="EN119" s="26">
        <v>14.3</v>
      </c>
      <c r="EO119" s="26">
        <v>9.8000000000000007</v>
      </c>
      <c r="EP119" s="26">
        <v>6.6</v>
      </c>
      <c r="EQ119" s="26">
        <v>4</v>
      </c>
    </row>
    <row r="120" spans="2:147">
      <c r="B120" s="9"/>
      <c r="C120" s="10"/>
      <c r="D120" s="10"/>
      <c r="E120" s="10"/>
      <c r="F120" s="11"/>
      <c r="G120" s="58"/>
      <c r="H120" s="118" t="s">
        <v>136</v>
      </c>
      <c r="I120" s="119"/>
      <c r="J120" s="119"/>
      <c r="K120" s="119"/>
      <c r="L120" s="119"/>
      <c r="M120" s="119"/>
      <c r="N120" s="119"/>
      <c r="O120" s="119"/>
      <c r="P120" s="119"/>
      <c r="Q120" s="119"/>
      <c r="R120" s="119"/>
      <c r="S120" s="120"/>
      <c r="T120" s="120"/>
      <c r="U120" s="120"/>
      <c r="V120" s="121"/>
      <c r="W120" s="122">
        <f>(2.66*CL$12^1.25)*((6.74*(CJ$22/100)^0.7)+0.4+(P$113/CL$11)*CJ$23)*1000</f>
        <v>708.90162499984058</v>
      </c>
      <c r="X120" s="123"/>
      <c r="Y120" s="124"/>
      <c r="Z120" s="125" t="s">
        <v>2</v>
      </c>
      <c r="AA120" s="126"/>
      <c r="AB120" s="41"/>
      <c r="AC120" s="41"/>
      <c r="AD120" s="41"/>
      <c r="AE120" s="36"/>
      <c r="AF120" s="127" t="str">
        <f ca="1">IF(OR(W119&lt;W120,W119=0),"Acceptable","Too Small")</f>
        <v>Acceptable</v>
      </c>
      <c r="AG120" s="128"/>
      <c r="AH120" s="128"/>
      <c r="AI120" s="128"/>
      <c r="AJ120" s="129"/>
      <c r="CH120" s="33">
        <v>38</v>
      </c>
      <c r="CI120" s="33">
        <f t="shared" ca="1" si="84"/>
        <v>168.63291666666666</v>
      </c>
      <c r="CJ120" s="33">
        <f t="shared" si="85"/>
        <v>16.996573384891221</v>
      </c>
      <c r="CK120" s="33">
        <f t="shared" ca="1" si="68"/>
        <v>0</v>
      </c>
      <c r="CL120" s="29">
        <v>37</v>
      </c>
      <c r="CN120" s="33">
        <v>38</v>
      </c>
      <c r="CO120" s="33">
        <f t="shared" ca="1" si="69"/>
        <v>181.94604166666664</v>
      </c>
      <c r="CP120" s="33">
        <f t="shared" si="70"/>
        <v>45.243401449015948</v>
      </c>
      <c r="CQ120" s="33">
        <f t="shared" ca="1" si="71"/>
        <v>0</v>
      </c>
      <c r="CR120" s="29">
        <v>37</v>
      </c>
      <c r="CT120" s="33">
        <v>38</v>
      </c>
      <c r="CU120" s="33">
        <f t="shared" ca="1" si="72"/>
        <v>208.57229166666667</v>
      </c>
      <c r="CV120" s="33">
        <f t="shared" si="73"/>
        <v>90.849397278847206</v>
      </c>
      <c r="CW120" s="33">
        <f t="shared" ca="1" si="74"/>
        <v>0</v>
      </c>
      <c r="CX120" s="29">
        <v>37</v>
      </c>
      <c r="CZ120" s="33">
        <v>38</v>
      </c>
      <c r="DA120" s="33">
        <f t="shared" ca="1" si="75"/>
        <v>252.94937499999997</v>
      </c>
      <c r="DB120" s="33">
        <f t="shared" si="76"/>
        <v>184.04057350589321</v>
      </c>
      <c r="DC120" s="33">
        <f t="shared" ca="1" si="77"/>
        <v>0</v>
      </c>
      <c r="DD120" s="29">
        <v>37</v>
      </c>
      <c r="DF120" s="60">
        <v>38</v>
      </c>
      <c r="DG120" s="60">
        <f t="shared" ca="1" si="78"/>
        <v>346.14125000000001</v>
      </c>
      <c r="DH120" s="60">
        <f t="shared" si="79"/>
        <v>319.29245920140755</v>
      </c>
      <c r="DI120" s="60">
        <f t="shared" ca="1" si="80"/>
        <v>0</v>
      </c>
      <c r="DJ120" s="51">
        <v>37</v>
      </c>
      <c r="DL120" s="60">
        <v>38</v>
      </c>
      <c r="DM120" s="60">
        <f t="shared" ca="1" si="81"/>
        <v>483.7102083333333</v>
      </c>
      <c r="DN120" s="60">
        <f t="shared" si="82"/>
        <v>681.07611145971043</v>
      </c>
      <c r="DO120" s="60">
        <f t="shared" ca="1" si="83"/>
        <v>197.36590312637713</v>
      </c>
      <c r="DP120" s="51">
        <v>37</v>
      </c>
      <c r="EG120" s="26">
        <v>0.2</v>
      </c>
      <c r="EH120" s="26">
        <v>10</v>
      </c>
      <c r="EI120" s="26">
        <v>50.4</v>
      </c>
      <c r="EJ120" s="26">
        <v>39.299999999999997</v>
      </c>
      <c r="EK120" s="26">
        <v>33.1</v>
      </c>
      <c r="EL120" s="26">
        <v>23.9</v>
      </c>
      <c r="EM120" s="26">
        <v>19.399999999999999</v>
      </c>
      <c r="EN120" s="26">
        <v>16.7</v>
      </c>
      <c r="EO120" s="26">
        <v>11.5</v>
      </c>
      <c r="EP120" s="26">
        <v>7.7</v>
      </c>
      <c r="EQ120" s="26">
        <v>5</v>
      </c>
    </row>
    <row r="121" spans="2:147" ht="15.75" thickBot="1">
      <c r="B121" s="9"/>
      <c r="C121" s="10"/>
      <c r="D121" s="10"/>
      <c r="E121" s="10"/>
      <c r="F121" s="11"/>
      <c r="G121" s="58"/>
      <c r="H121" s="37"/>
      <c r="I121" s="37"/>
      <c r="J121" s="37"/>
      <c r="K121" s="37"/>
      <c r="L121" s="37"/>
      <c r="M121" s="37"/>
      <c r="N121" s="37"/>
      <c r="O121" s="37"/>
      <c r="P121" s="37"/>
      <c r="Q121" s="37"/>
      <c r="R121" s="37"/>
      <c r="S121" s="37"/>
      <c r="T121" s="37"/>
      <c r="U121" s="41"/>
      <c r="V121" s="41"/>
      <c r="W121" s="41"/>
      <c r="X121" s="41"/>
      <c r="Y121" s="41"/>
      <c r="Z121" s="41"/>
      <c r="AA121" s="41"/>
      <c r="AB121" s="41"/>
      <c r="AC121" s="41"/>
      <c r="AD121" s="41"/>
      <c r="AE121" s="57"/>
      <c r="AF121" s="42"/>
      <c r="AG121" s="41"/>
      <c r="AH121" s="41"/>
      <c r="AI121" s="41"/>
      <c r="AJ121" s="43"/>
      <c r="CH121" s="33">
        <v>39</v>
      </c>
      <c r="CI121" s="33">
        <f t="shared" ca="1" si="84"/>
        <v>173.07062500000001</v>
      </c>
      <c r="CJ121" s="33">
        <f t="shared" si="85"/>
        <v>17.047529264229215</v>
      </c>
      <c r="CK121" s="33">
        <f t="shared" ca="1" si="68"/>
        <v>0</v>
      </c>
      <c r="CL121" s="29">
        <v>38</v>
      </c>
      <c r="CN121" s="33">
        <v>39</v>
      </c>
      <c r="CO121" s="33">
        <f t="shared" ca="1" si="69"/>
        <v>186.38374999999999</v>
      </c>
      <c r="CP121" s="33">
        <f t="shared" si="70"/>
        <v>45.336366054252082</v>
      </c>
      <c r="CQ121" s="33">
        <f t="shared" ca="1" si="71"/>
        <v>0</v>
      </c>
      <c r="CR121" s="29">
        <v>38</v>
      </c>
      <c r="CT121" s="33">
        <v>39</v>
      </c>
      <c r="CU121" s="33">
        <f t="shared" ca="1" si="72"/>
        <v>213.01</v>
      </c>
      <c r="CV121" s="33">
        <f t="shared" si="73"/>
        <v>90.991395586351985</v>
      </c>
      <c r="CW121" s="33">
        <f t="shared" ca="1" si="74"/>
        <v>0</v>
      </c>
      <c r="CX121" s="29">
        <v>38</v>
      </c>
      <c r="CZ121" s="33">
        <v>39</v>
      </c>
      <c r="DA121" s="33">
        <f t="shared" ca="1" si="75"/>
        <v>257.38708333333329</v>
      </c>
      <c r="DB121" s="33">
        <f t="shared" si="76"/>
        <v>184.25895101202264</v>
      </c>
      <c r="DC121" s="33">
        <f t="shared" ca="1" si="77"/>
        <v>0</v>
      </c>
      <c r="DD121" s="29">
        <v>38</v>
      </c>
      <c r="DF121" s="60">
        <v>39</v>
      </c>
      <c r="DG121" s="60">
        <f t="shared" ca="1" si="78"/>
        <v>350.57895833333333</v>
      </c>
      <c r="DH121" s="60">
        <f t="shared" si="79"/>
        <v>319.59675138777817</v>
      </c>
      <c r="DI121" s="60">
        <f t="shared" ca="1" si="80"/>
        <v>0</v>
      </c>
      <c r="DJ121" s="51">
        <v>38</v>
      </c>
      <c r="DL121" s="60">
        <v>39</v>
      </c>
      <c r="DM121" s="60">
        <f t="shared" ca="1" si="81"/>
        <v>488.14791666666667</v>
      </c>
      <c r="DN121" s="60">
        <f t="shared" si="82"/>
        <v>681.52491006519654</v>
      </c>
      <c r="DO121" s="60">
        <f t="shared" ca="1" si="83"/>
        <v>193.37699339852986</v>
      </c>
      <c r="DP121" s="51">
        <v>38</v>
      </c>
      <c r="EG121" s="26"/>
      <c r="EH121" s="26">
        <v>15</v>
      </c>
      <c r="EI121" s="26">
        <v>54.2</v>
      </c>
      <c r="EJ121" s="26">
        <v>42.4</v>
      </c>
      <c r="EK121" s="26">
        <v>35.799999999999997</v>
      </c>
      <c r="EL121" s="26">
        <v>26</v>
      </c>
      <c r="EM121" s="26">
        <v>21.2</v>
      </c>
      <c r="EN121" s="26">
        <v>18.3</v>
      </c>
      <c r="EO121" s="26">
        <v>12.6</v>
      </c>
      <c r="EP121" s="26">
        <v>8.5</v>
      </c>
      <c r="EQ121" s="26">
        <v>6</v>
      </c>
    </row>
    <row r="122" spans="2:147">
      <c r="B122" s="9"/>
      <c r="C122" s="10"/>
      <c r="D122" s="10"/>
      <c r="E122" s="10"/>
      <c r="F122" s="11"/>
      <c r="G122" s="58"/>
      <c r="H122" s="80" t="s">
        <v>116</v>
      </c>
      <c r="I122" s="81"/>
      <c r="J122" s="81"/>
      <c r="K122" s="81"/>
      <c r="L122" s="81"/>
      <c r="M122" s="81"/>
      <c r="N122" s="81"/>
      <c r="O122" s="81"/>
      <c r="P122" s="82"/>
      <c r="Q122" s="78">
        <f>HLOOKUP(M$116,CQ$5:CX$11,2,FALSE)</f>
        <v>150</v>
      </c>
      <c r="R122" s="79"/>
      <c r="S122" s="63"/>
      <c r="T122" s="193" t="s">
        <v>19</v>
      </c>
      <c r="U122" s="194"/>
      <c r="V122" s="195"/>
      <c r="W122" s="193" t="str">
        <f ca="1">IF(AF120="Too Small","N/A",CJ82&amp;"m")</f>
        <v>3m</v>
      </c>
      <c r="X122" s="194"/>
      <c r="Y122" s="199"/>
      <c r="Z122" s="41"/>
      <c r="AA122" s="41"/>
      <c r="AB122" s="41"/>
      <c r="AC122" s="41"/>
      <c r="AD122" s="41"/>
      <c r="AE122" s="57"/>
      <c r="AF122" s="42"/>
      <c r="AG122" s="41"/>
      <c r="AH122" s="41"/>
      <c r="AI122" s="41"/>
      <c r="AJ122" s="43"/>
      <c r="CH122" s="33">
        <v>40</v>
      </c>
      <c r="CI122" s="33">
        <f t="shared" ca="1" si="84"/>
        <v>177.50833333333333</v>
      </c>
      <c r="CJ122" s="33">
        <f t="shared" si="85"/>
        <v>17.098485143567203</v>
      </c>
      <c r="CK122" s="33">
        <f t="shared" ca="1" si="68"/>
        <v>0</v>
      </c>
      <c r="CL122" s="29">
        <v>39</v>
      </c>
      <c r="CN122" s="33">
        <v>40</v>
      </c>
      <c r="CO122" s="33">
        <f t="shared" ca="1" si="69"/>
        <v>190.82145833333334</v>
      </c>
      <c r="CP122" s="33">
        <f t="shared" si="70"/>
        <v>45.429330659488215</v>
      </c>
      <c r="CQ122" s="33">
        <f t="shared" ca="1" si="71"/>
        <v>0</v>
      </c>
      <c r="CR122" s="29">
        <v>39</v>
      </c>
      <c r="CT122" s="33">
        <v>40</v>
      </c>
      <c r="CU122" s="33">
        <f t="shared" ca="1" si="72"/>
        <v>217.44770833333331</v>
      </c>
      <c r="CV122" s="33">
        <f t="shared" si="73"/>
        <v>91.133393893856748</v>
      </c>
      <c r="CW122" s="33">
        <f t="shared" ca="1" si="74"/>
        <v>0</v>
      </c>
      <c r="CX122" s="29">
        <v>39</v>
      </c>
      <c r="CZ122" s="33">
        <v>40</v>
      </c>
      <c r="DA122" s="33">
        <f t="shared" ca="1" si="75"/>
        <v>261.82479166666667</v>
      </c>
      <c r="DB122" s="33">
        <f t="shared" si="76"/>
        <v>184.47732851815206</v>
      </c>
      <c r="DC122" s="33">
        <f t="shared" ca="1" si="77"/>
        <v>0</v>
      </c>
      <c r="DD122" s="29">
        <v>39</v>
      </c>
      <c r="DF122" s="60">
        <v>40</v>
      </c>
      <c r="DG122" s="60">
        <f t="shared" ca="1" si="78"/>
        <v>355.01666666666665</v>
      </c>
      <c r="DH122" s="60">
        <f t="shared" si="79"/>
        <v>319.90104357414879</v>
      </c>
      <c r="DI122" s="60">
        <f t="shared" ca="1" si="80"/>
        <v>0</v>
      </c>
      <c r="DJ122" s="51">
        <v>39</v>
      </c>
      <c r="DL122" s="60">
        <v>40</v>
      </c>
      <c r="DM122" s="60">
        <f t="shared" ca="1" si="81"/>
        <v>492.58562499999999</v>
      </c>
      <c r="DN122" s="60">
        <f t="shared" si="82"/>
        <v>681.97370867068241</v>
      </c>
      <c r="DO122" s="60">
        <f t="shared" ca="1" si="83"/>
        <v>189.38808367068242</v>
      </c>
      <c r="DP122" s="51">
        <v>39</v>
      </c>
      <c r="EG122" s="26"/>
      <c r="EH122" s="26">
        <v>20</v>
      </c>
      <c r="EI122" s="26">
        <v>57.2</v>
      </c>
      <c r="EJ122" s="26">
        <v>44.8</v>
      </c>
      <c r="EK122" s="26">
        <v>37.9</v>
      </c>
      <c r="EL122" s="26">
        <v>27.6</v>
      </c>
      <c r="EM122" s="26">
        <v>22.6</v>
      </c>
      <c r="EN122" s="26">
        <v>19.399999999999999</v>
      </c>
      <c r="EO122" s="26">
        <v>13.4</v>
      </c>
      <c r="EP122" s="26">
        <v>9</v>
      </c>
      <c r="EQ122" s="26">
        <v>6</v>
      </c>
    </row>
    <row r="123" spans="2:147">
      <c r="B123" s="9"/>
      <c r="C123" s="10"/>
      <c r="D123" s="10"/>
      <c r="E123" s="10"/>
      <c r="F123" s="11"/>
      <c r="G123" s="58"/>
      <c r="H123" s="83" t="s">
        <v>123</v>
      </c>
      <c r="I123" s="84"/>
      <c r="J123" s="84"/>
      <c r="K123" s="84"/>
      <c r="L123" s="84"/>
      <c r="M123" s="84"/>
      <c r="N123" s="84"/>
      <c r="O123" s="84"/>
      <c r="P123" s="85"/>
      <c r="Q123" s="74">
        <f>HLOOKUP(M$116,CQ$5:CX$11,3,FALSE)</f>
        <v>225</v>
      </c>
      <c r="R123" s="75"/>
      <c r="S123" s="62"/>
      <c r="T123" s="196" t="s">
        <v>19</v>
      </c>
      <c r="U123" s="197"/>
      <c r="V123" s="198"/>
      <c r="W123" s="196" t="str">
        <f ca="1">IF(AF120="Too Small","N/A",CP82&amp;"m")</f>
        <v>6m</v>
      </c>
      <c r="X123" s="197"/>
      <c r="Y123" s="200"/>
      <c r="Z123" s="41"/>
      <c r="AA123" s="41"/>
      <c r="AB123" s="41"/>
      <c r="AC123" s="41"/>
      <c r="AD123" s="41"/>
      <c r="AE123" s="57"/>
      <c r="AF123" s="42"/>
      <c r="AG123" s="41"/>
      <c r="AH123" s="41"/>
      <c r="AI123" s="41"/>
      <c r="AJ123" s="43"/>
      <c r="CH123" s="33">
        <v>41</v>
      </c>
      <c r="CI123" s="33">
        <f t="shared" ca="1" si="84"/>
        <v>181.94604166666664</v>
      </c>
      <c r="CJ123" s="33">
        <f t="shared" si="85"/>
        <v>17.149441022905201</v>
      </c>
      <c r="CK123" s="33">
        <f t="shared" ca="1" si="68"/>
        <v>0</v>
      </c>
      <c r="CL123" s="29">
        <v>40</v>
      </c>
      <c r="CN123" s="33">
        <v>41</v>
      </c>
      <c r="CO123" s="33">
        <f t="shared" ca="1" si="69"/>
        <v>195.25916666666666</v>
      </c>
      <c r="CP123" s="33">
        <f t="shared" si="70"/>
        <v>45.522295264724356</v>
      </c>
      <c r="CQ123" s="33">
        <f t="shared" ca="1" si="71"/>
        <v>0</v>
      </c>
      <c r="CR123" s="29">
        <v>40</v>
      </c>
      <c r="CT123" s="33">
        <v>41</v>
      </c>
      <c r="CU123" s="33">
        <f t="shared" ca="1" si="72"/>
        <v>221.88541666666666</v>
      </c>
      <c r="CV123" s="33">
        <f t="shared" si="73"/>
        <v>91.275392201361527</v>
      </c>
      <c r="CW123" s="33">
        <f t="shared" ca="1" si="74"/>
        <v>0</v>
      </c>
      <c r="CX123" s="29">
        <v>40</v>
      </c>
      <c r="CZ123" s="33">
        <v>41</v>
      </c>
      <c r="DA123" s="33">
        <f t="shared" ca="1" si="75"/>
        <v>266.26249999999999</v>
      </c>
      <c r="DB123" s="33">
        <f t="shared" si="76"/>
        <v>184.69570602428155</v>
      </c>
      <c r="DC123" s="33">
        <f t="shared" ca="1" si="77"/>
        <v>0</v>
      </c>
      <c r="DD123" s="29">
        <v>40</v>
      </c>
      <c r="DF123" s="60">
        <v>41</v>
      </c>
      <c r="DG123" s="60">
        <f t="shared" ca="1" si="78"/>
        <v>359.45437499999997</v>
      </c>
      <c r="DH123" s="60">
        <f t="shared" si="79"/>
        <v>320.2053357605194</v>
      </c>
      <c r="DI123" s="60">
        <f t="shared" ca="1" si="80"/>
        <v>0</v>
      </c>
      <c r="DJ123" s="51">
        <v>40</v>
      </c>
      <c r="DL123" s="60">
        <v>41</v>
      </c>
      <c r="DM123" s="60">
        <f t="shared" ca="1" si="81"/>
        <v>497.02333333333331</v>
      </c>
      <c r="DN123" s="60">
        <f t="shared" si="82"/>
        <v>682.4225072761684</v>
      </c>
      <c r="DO123" s="60">
        <f t="shared" ca="1" si="83"/>
        <v>185.39917394283509</v>
      </c>
      <c r="DP123" s="51">
        <v>40</v>
      </c>
      <c r="EG123" s="26"/>
      <c r="EH123" s="26">
        <v>25</v>
      </c>
      <c r="EI123" s="26">
        <v>59.5</v>
      </c>
      <c r="EJ123" s="26">
        <v>46.7</v>
      </c>
      <c r="EK123" s="26">
        <v>39.6</v>
      </c>
      <c r="EL123" s="26">
        <v>28.9</v>
      </c>
      <c r="EM123" s="26">
        <v>23.7</v>
      </c>
      <c r="EN123" s="26">
        <v>20.399999999999999</v>
      </c>
      <c r="EO123" s="26">
        <v>14.1</v>
      </c>
      <c r="EP123" s="26">
        <v>9.5</v>
      </c>
      <c r="EQ123" s="26">
        <v>6</v>
      </c>
    </row>
    <row r="124" spans="2:147">
      <c r="B124" s="9"/>
      <c r="C124" s="10"/>
      <c r="D124" s="10"/>
      <c r="E124" s="10"/>
      <c r="F124" s="11"/>
      <c r="G124" s="58"/>
      <c r="H124" s="83" t="s">
        <v>124</v>
      </c>
      <c r="I124" s="84"/>
      <c r="J124" s="84"/>
      <c r="K124" s="84"/>
      <c r="L124" s="84"/>
      <c r="M124" s="84"/>
      <c r="N124" s="84"/>
      <c r="O124" s="84"/>
      <c r="P124" s="85"/>
      <c r="Q124" s="74">
        <f>HLOOKUP(M$116,CQ$5:CX$11,4,FALSE)</f>
        <v>300</v>
      </c>
      <c r="R124" s="75"/>
      <c r="S124" s="62"/>
      <c r="T124" s="196" t="s">
        <v>19</v>
      </c>
      <c r="U124" s="197"/>
      <c r="V124" s="198"/>
      <c r="W124" s="196" t="str">
        <f ca="1">IF(AF120="Too Small","N/A",CV82&amp;"m")</f>
        <v>10m</v>
      </c>
      <c r="X124" s="197"/>
      <c r="Y124" s="200"/>
      <c r="Z124" s="41"/>
      <c r="AA124" s="41"/>
      <c r="AB124" s="41"/>
      <c r="AC124" s="41"/>
      <c r="AD124" s="41"/>
      <c r="AE124" s="57"/>
      <c r="AF124" s="42"/>
      <c r="AG124" s="41"/>
      <c r="AH124" s="41"/>
      <c r="AI124" s="41"/>
      <c r="AJ124" s="43"/>
      <c r="CH124" s="33">
        <v>42</v>
      </c>
      <c r="CI124" s="33">
        <f t="shared" ca="1" si="84"/>
        <v>186.38374999999999</v>
      </c>
      <c r="CJ124" s="33">
        <f t="shared" si="85"/>
        <v>17.200396902243188</v>
      </c>
      <c r="CK124" s="33">
        <f t="shared" ca="1" si="68"/>
        <v>0</v>
      </c>
      <c r="CL124" s="29">
        <v>41</v>
      </c>
      <c r="CN124" s="33">
        <v>42</v>
      </c>
      <c r="CO124" s="33">
        <f t="shared" ca="1" si="69"/>
        <v>199.69687499999998</v>
      </c>
      <c r="CP124" s="33">
        <f t="shared" si="70"/>
        <v>45.615259869960489</v>
      </c>
      <c r="CQ124" s="33">
        <f t="shared" ca="1" si="71"/>
        <v>0</v>
      </c>
      <c r="CR124" s="29">
        <v>41</v>
      </c>
      <c r="CT124" s="33">
        <v>42</v>
      </c>
      <c r="CU124" s="33">
        <f t="shared" ca="1" si="72"/>
        <v>226.323125</v>
      </c>
      <c r="CV124" s="33">
        <f t="shared" si="73"/>
        <v>91.417390508866291</v>
      </c>
      <c r="CW124" s="33">
        <f t="shared" ca="1" si="74"/>
        <v>0</v>
      </c>
      <c r="CX124" s="29">
        <v>41</v>
      </c>
      <c r="CZ124" s="33">
        <v>42</v>
      </c>
      <c r="DA124" s="33">
        <f t="shared" ca="1" si="75"/>
        <v>270.70020833333331</v>
      </c>
      <c r="DB124" s="33">
        <f t="shared" si="76"/>
        <v>184.91408353041101</v>
      </c>
      <c r="DC124" s="33">
        <f t="shared" ca="1" si="77"/>
        <v>0</v>
      </c>
      <c r="DD124" s="29">
        <v>41</v>
      </c>
      <c r="DF124" s="60">
        <v>42</v>
      </c>
      <c r="DG124" s="60">
        <f t="shared" ca="1" si="78"/>
        <v>363.89208333333329</v>
      </c>
      <c r="DH124" s="60">
        <f t="shared" si="79"/>
        <v>320.50962794689002</v>
      </c>
      <c r="DI124" s="60">
        <f t="shared" ca="1" si="80"/>
        <v>0</v>
      </c>
      <c r="DJ124" s="51">
        <v>41</v>
      </c>
      <c r="DL124" s="60">
        <v>42</v>
      </c>
      <c r="DM124" s="60">
        <f t="shared" ca="1" si="81"/>
        <v>501.46104166666663</v>
      </c>
      <c r="DN124" s="60">
        <f t="shared" si="82"/>
        <v>682.87130588165439</v>
      </c>
      <c r="DO124" s="60">
        <f t="shared" ca="1" si="83"/>
        <v>181.41026421498776</v>
      </c>
      <c r="DP124" s="51">
        <v>41</v>
      </c>
      <c r="EG124" s="26"/>
      <c r="EH124" s="26">
        <v>30</v>
      </c>
      <c r="EI124" s="26">
        <v>61.5</v>
      </c>
      <c r="EJ124" s="26">
        <v>48.3</v>
      </c>
      <c r="EK124" s="26">
        <v>41</v>
      </c>
      <c r="EL124" s="26">
        <v>30.1</v>
      </c>
      <c r="EM124" s="26">
        <v>24.6</v>
      </c>
      <c r="EN124" s="26">
        <v>21.3</v>
      </c>
      <c r="EO124" s="26">
        <v>14.7</v>
      </c>
      <c r="EP124" s="26">
        <v>9.9</v>
      </c>
      <c r="EQ124" s="26">
        <v>6</v>
      </c>
    </row>
    <row r="125" spans="2:147">
      <c r="B125" s="9"/>
      <c r="C125" s="10"/>
      <c r="D125" s="10"/>
      <c r="E125" s="10"/>
      <c r="F125" s="11"/>
      <c r="G125" s="58"/>
      <c r="H125" s="83" t="s">
        <v>125</v>
      </c>
      <c r="I125" s="84"/>
      <c r="J125" s="84"/>
      <c r="K125" s="84"/>
      <c r="L125" s="84"/>
      <c r="M125" s="84"/>
      <c r="N125" s="84"/>
      <c r="O125" s="84"/>
      <c r="P125" s="85"/>
      <c r="Q125" s="74">
        <f>HLOOKUP(M$116,CQ$5:CX$11,5,FALSE)</f>
        <v>400</v>
      </c>
      <c r="R125" s="75"/>
      <c r="S125" s="62"/>
      <c r="T125" s="196" t="s">
        <v>19</v>
      </c>
      <c r="U125" s="197"/>
      <c r="V125" s="198"/>
      <c r="W125" s="196" t="str">
        <f ca="1">IF(AF120="Too Small","N/A",DB82&amp;"m")</f>
        <v>21m</v>
      </c>
      <c r="X125" s="197"/>
      <c r="Y125" s="200"/>
      <c r="Z125" s="41"/>
      <c r="AA125" s="41"/>
      <c r="AB125" s="41"/>
      <c r="AC125" s="41"/>
      <c r="AD125" s="41"/>
      <c r="AE125" s="57"/>
      <c r="AF125" s="42"/>
      <c r="AG125" s="41"/>
      <c r="AH125" s="41"/>
      <c r="AI125" s="41"/>
      <c r="AJ125" s="43"/>
      <c r="CH125" s="33">
        <v>43</v>
      </c>
      <c r="CI125" s="33">
        <f t="shared" ca="1" si="84"/>
        <v>190.82145833333334</v>
      </c>
      <c r="CJ125" s="33">
        <f t="shared" si="85"/>
        <v>17.251352781581183</v>
      </c>
      <c r="CK125" s="33">
        <f t="shared" ca="1" si="68"/>
        <v>0</v>
      </c>
      <c r="CL125" s="29">
        <v>42</v>
      </c>
      <c r="CN125" s="33">
        <v>43</v>
      </c>
      <c r="CO125" s="33">
        <f t="shared" ca="1" si="69"/>
        <v>204.13458333333332</v>
      </c>
      <c r="CP125" s="33">
        <f t="shared" si="70"/>
        <v>45.708224475196623</v>
      </c>
      <c r="CQ125" s="33">
        <f t="shared" ca="1" si="71"/>
        <v>0</v>
      </c>
      <c r="CR125" s="29">
        <v>42</v>
      </c>
      <c r="CT125" s="33">
        <v>43</v>
      </c>
      <c r="CU125" s="33">
        <f t="shared" ca="1" si="72"/>
        <v>230.76083333333332</v>
      </c>
      <c r="CV125" s="33">
        <f t="shared" si="73"/>
        <v>91.559388816371055</v>
      </c>
      <c r="CW125" s="33">
        <f t="shared" ca="1" si="74"/>
        <v>0</v>
      </c>
      <c r="CX125" s="29">
        <v>42</v>
      </c>
      <c r="CZ125" s="33">
        <v>43</v>
      </c>
      <c r="DA125" s="33">
        <f t="shared" ca="1" si="75"/>
        <v>275.13791666666668</v>
      </c>
      <c r="DB125" s="33">
        <f t="shared" si="76"/>
        <v>185.13246103654046</v>
      </c>
      <c r="DC125" s="33">
        <f t="shared" ca="1" si="77"/>
        <v>0</v>
      </c>
      <c r="DD125" s="29">
        <v>42</v>
      </c>
      <c r="DF125" s="60">
        <v>43</v>
      </c>
      <c r="DG125" s="60">
        <f t="shared" ca="1" si="78"/>
        <v>368.32979166666667</v>
      </c>
      <c r="DH125" s="60">
        <f t="shared" si="79"/>
        <v>320.81392013326069</v>
      </c>
      <c r="DI125" s="60">
        <f t="shared" ca="1" si="80"/>
        <v>0</v>
      </c>
      <c r="DJ125" s="51">
        <v>42</v>
      </c>
      <c r="DL125" s="60">
        <v>43</v>
      </c>
      <c r="DM125" s="60">
        <f t="shared" ca="1" si="81"/>
        <v>505.89874999999995</v>
      </c>
      <c r="DN125" s="60">
        <f t="shared" si="82"/>
        <v>683.32010448714027</v>
      </c>
      <c r="DO125" s="60">
        <f t="shared" ca="1" si="83"/>
        <v>177.42135448714032</v>
      </c>
      <c r="DP125" s="51">
        <v>42</v>
      </c>
      <c r="EG125" s="26"/>
      <c r="EH125" s="26">
        <v>50</v>
      </c>
      <c r="EI125" s="26">
        <v>67.5</v>
      </c>
      <c r="EJ125" s="26">
        <v>53.2</v>
      </c>
      <c r="EK125" s="26">
        <v>45.3</v>
      </c>
      <c r="EL125" s="26">
        <v>33.5</v>
      </c>
      <c r="EM125" s="26">
        <v>27.5</v>
      </c>
      <c r="EN125" s="26">
        <v>23.8</v>
      </c>
      <c r="EO125" s="26">
        <v>16.5</v>
      </c>
      <c r="EP125" s="26">
        <v>11.1</v>
      </c>
      <c r="EQ125" s="26">
        <v>7</v>
      </c>
    </row>
    <row r="126" spans="2:147">
      <c r="B126" s="9"/>
      <c r="C126" s="10"/>
      <c r="D126" s="10"/>
      <c r="E126" s="10"/>
      <c r="F126" s="11"/>
      <c r="G126" s="58"/>
      <c r="H126" s="83" t="s">
        <v>126</v>
      </c>
      <c r="I126" s="84"/>
      <c r="J126" s="84"/>
      <c r="K126" s="84"/>
      <c r="L126" s="84"/>
      <c r="M126" s="84"/>
      <c r="N126" s="84"/>
      <c r="O126" s="84"/>
      <c r="P126" s="85"/>
      <c r="Q126" s="74">
        <f>HLOOKUP(M$116,CQ$5:CX$11,6,FALSE)</f>
        <v>500</v>
      </c>
      <c r="R126" s="75"/>
      <c r="S126" s="62"/>
      <c r="T126" s="196" t="s">
        <v>19</v>
      </c>
      <c r="U126" s="197"/>
      <c r="V126" s="198"/>
      <c r="W126" s="196" t="str">
        <f ca="1">IF(AF120="Too Small","N/A",DH82&amp;"m")</f>
        <v>31m</v>
      </c>
      <c r="X126" s="197"/>
      <c r="Y126" s="200"/>
      <c r="Z126" s="41"/>
      <c r="AA126" s="41"/>
      <c r="AB126" s="41"/>
      <c r="AC126" s="41"/>
      <c r="AD126" s="41"/>
      <c r="AE126" s="57"/>
      <c r="AF126" s="42"/>
      <c r="AG126" s="41"/>
      <c r="AH126" s="41"/>
      <c r="AI126" s="41"/>
      <c r="AJ126" s="43"/>
      <c r="CH126" s="33">
        <v>44</v>
      </c>
      <c r="CI126" s="33">
        <f t="shared" ca="1" si="84"/>
        <v>195.25916666666666</v>
      </c>
      <c r="CJ126" s="33">
        <f t="shared" si="85"/>
        <v>17.302308660919177</v>
      </c>
      <c r="CK126" s="33">
        <f t="shared" ca="1" si="68"/>
        <v>0</v>
      </c>
      <c r="CL126" s="29">
        <v>43</v>
      </c>
      <c r="CN126" s="33">
        <v>44</v>
      </c>
      <c r="CO126" s="33">
        <f t="shared" ca="1" si="69"/>
        <v>208.57229166666667</v>
      </c>
      <c r="CP126" s="33">
        <f t="shared" si="70"/>
        <v>45.801189080432756</v>
      </c>
      <c r="CQ126" s="33">
        <f t="shared" ca="1" si="71"/>
        <v>0</v>
      </c>
      <c r="CR126" s="29">
        <v>43</v>
      </c>
      <c r="CT126" s="33">
        <v>44</v>
      </c>
      <c r="CU126" s="33">
        <f t="shared" ca="1" si="72"/>
        <v>235.19854166666664</v>
      </c>
      <c r="CV126" s="33">
        <f t="shared" si="73"/>
        <v>91.701387123875833</v>
      </c>
      <c r="CW126" s="33">
        <f t="shared" ca="1" si="74"/>
        <v>0</v>
      </c>
      <c r="CX126" s="29">
        <v>43</v>
      </c>
      <c r="CZ126" s="33">
        <v>44</v>
      </c>
      <c r="DA126" s="33">
        <f t="shared" ca="1" si="75"/>
        <v>279.575625</v>
      </c>
      <c r="DB126" s="33">
        <f t="shared" si="76"/>
        <v>185.35083854266989</v>
      </c>
      <c r="DC126" s="33">
        <f t="shared" ca="1" si="77"/>
        <v>0</v>
      </c>
      <c r="DD126" s="29">
        <v>43</v>
      </c>
      <c r="DF126" s="60">
        <v>44</v>
      </c>
      <c r="DG126" s="60">
        <f t="shared" ca="1" si="78"/>
        <v>372.76749999999998</v>
      </c>
      <c r="DH126" s="60">
        <f t="shared" si="79"/>
        <v>321.11821231963131</v>
      </c>
      <c r="DI126" s="60">
        <f t="shared" ca="1" si="80"/>
        <v>0</v>
      </c>
      <c r="DJ126" s="51">
        <v>43</v>
      </c>
      <c r="DL126" s="60">
        <v>44</v>
      </c>
      <c r="DM126" s="60">
        <f t="shared" ca="1" si="81"/>
        <v>510.33645833333333</v>
      </c>
      <c r="DN126" s="60">
        <f t="shared" si="82"/>
        <v>683.76890309262637</v>
      </c>
      <c r="DO126" s="60">
        <f t="shared" ca="1" si="83"/>
        <v>173.43244475929305</v>
      </c>
      <c r="DP126" s="51">
        <v>43</v>
      </c>
      <c r="EG126" s="26"/>
      <c r="EH126" s="26">
        <v>100</v>
      </c>
      <c r="EI126" s="26">
        <v>76.599999999999994</v>
      </c>
      <c r="EJ126" s="26">
        <v>60.7</v>
      </c>
      <c r="EK126" s="26">
        <v>51.9</v>
      </c>
      <c r="EL126" s="26">
        <v>38.700000000000003</v>
      </c>
      <c r="EM126" s="26">
        <v>31.9</v>
      </c>
      <c r="EN126" s="26">
        <v>27.7</v>
      </c>
      <c r="EO126" s="26">
        <v>19.3</v>
      </c>
      <c r="EP126" s="26">
        <v>13</v>
      </c>
      <c r="EQ126" s="26">
        <v>8</v>
      </c>
    </row>
    <row r="127" spans="2:147" ht="15.75" thickBot="1">
      <c r="B127" s="9"/>
      <c r="C127" s="10"/>
      <c r="D127" s="10"/>
      <c r="E127" s="10"/>
      <c r="F127" s="11"/>
      <c r="G127" s="58"/>
      <c r="H127" s="71" t="s">
        <v>127</v>
      </c>
      <c r="I127" s="72"/>
      <c r="J127" s="72"/>
      <c r="K127" s="72"/>
      <c r="L127" s="72"/>
      <c r="M127" s="72"/>
      <c r="N127" s="72"/>
      <c r="O127" s="72"/>
      <c r="P127" s="73"/>
      <c r="Q127" s="76">
        <f>HLOOKUP(M$116,CQ$5:CX$11,7,FALSE)</f>
        <v>600</v>
      </c>
      <c r="R127" s="77"/>
      <c r="S127" s="64"/>
      <c r="T127" s="190" t="s">
        <v>19</v>
      </c>
      <c r="U127" s="184"/>
      <c r="V127" s="77"/>
      <c r="W127" s="190" t="str">
        <f ca="1">IF(AF120="Too Small","N/A",DN82&amp;"m")</f>
        <v>29m</v>
      </c>
      <c r="X127" s="184"/>
      <c r="Y127" s="201"/>
      <c r="Z127" s="41"/>
      <c r="AA127" s="41"/>
      <c r="AB127" s="41"/>
      <c r="AC127" s="41"/>
      <c r="AD127" s="41"/>
      <c r="AE127" s="57"/>
      <c r="AF127" s="42"/>
      <c r="AG127" s="41"/>
      <c r="AH127" s="41"/>
      <c r="AI127" s="41"/>
      <c r="AJ127" s="43"/>
      <c r="CH127" s="33">
        <v>45</v>
      </c>
      <c r="CI127" s="33">
        <f t="shared" ca="1" si="84"/>
        <v>199.69687499999998</v>
      </c>
      <c r="CJ127" s="33">
        <f t="shared" si="85"/>
        <v>17.353264540257168</v>
      </c>
      <c r="CK127" s="33">
        <f t="shared" ca="1" si="68"/>
        <v>0</v>
      </c>
      <c r="CL127" s="29">
        <v>44</v>
      </c>
      <c r="CN127" s="33">
        <v>45</v>
      </c>
      <c r="CO127" s="33">
        <f t="shared" ca="1" si="69"/>
        <v>213.01</v>
      </c>
      <c r="CP127" s="33">
        <f t="shared" si="70"/>
        <v>45.894153685668897</v>
      </c>
      <c r="CQ127" s="33">
        <f t="shared" ca="1" si="71"/>
        <v>0</v>
      </c>
      <c r="CR127" s="29">
        <v>44</v>
      </c>
      <c r="CT127" s="33">
        <v>45</v>
      </c>
      <c r="CU127" s="33">
        <f t="shared" ca="1" si="72"/>
        <v>239.63624999999999</v>
      </c>
      <c r="CV127" s="33">
        <f t="shared" si="73"/>
        <v>91.843385431380597</v>
      </c>
      <c r="CW127" s="33">
        <f t="shared" ca="1" si="74"/>
        <v>0</v>
      </c>
      <c r="CX127" s="29">
        <v>44</v>
      </c>
      <c r="CZ127" s="33">
        <v>45</v>
      </c>
      <c r="DA127" s="33">
        <f t="shared" ca="1" si="75"/>
        <v>284.01333333333332</v>
      </c>
      <c r="DB127" s="33">
        <f t="shared" si="76"/>
        <v>185.56921604879938</v>
      </c>
      <c r="DC127" s="33">
        <f t="shared" ca="1" si="77"/>
        <v>0</v>
      </c>
      <c r="DD127" s="29">
        <v>44</v>
      </c>
      <c r="DF127" s="60">
        <v>45</v>
      </c>
      <c r="DG127" s="60">
        <f t="shared" ca="1" si="78"/>
        <v>377.2052083333333</v>
      </c>
      <c r="DH127" s="60">
        <f t="shared" si="79"/>
        <v>321.42250450600204</v>
      </c>
      <c r="DI127" s="60">
        <f t="shared" ca="1" si="80"/>
        <v>0</v>
      </c>
      <c r="DJ127" s="51">
        <v>44</v>
      </c>
      <c r="DL127" s="60">
        <v>45</v>
      </c>
      <c r="DM127" s="60">
        <f t="shared" ca="1" si="81"/>
        <v>514.77416666666659</v>
      </c>
      <c r="DN127" s="60">
        <f t="shared" si="82"/>
        <v>684.21770169811225</v>
      </c>
      <c r="DO127" s="60">
        <f t="shared" ca="1" si="83"/>
        <v>169.44353503144566</v>
      </c>
      <c r="DP127" s="51">
        <v>44</v>
      </c>
      <c r="EG127" s="26"/>
      <c r="EH127" s="26">
        <v>500</v>
      </c>
      <c r="EI127" s="26">
        <v>102.5</v>
      </c>
      <c r="EJ127" s="26">
        <v>82.3</v>
      </c>
      <c r="EK127" s="26">
        <v>71</v>
      </c>
      <c r="EL127" s="26">
        <v>54.2</v>
      </c>
      <c r="EM127" s="26">
        <v>45.2</v>
      </c>
      <c r="EN127" s="26">
        <v>39.4</v>
      </c>
      <c r="EO127" s="26">
        <v>27.8</v>
      </c>
      <c r="EP127" s="26">
        <v>18.7</v>
      </c>
      <c r="EQ127" s="26">
        <v>12</v>
      </c>
    </row>
    <row r="128" spans="2:147">
      <c r="B128" s="9"/>
      <c r="C128" s="10"/>
      <c r="D128" s="10"/>
      <c r="E128" s="10"/>
      <c r="F128" s="11"/>
      <c r="G128" s="58"/>
      <c r="H128" s="37"/>
      <c r="I128" s="37"/>
      <c r="J128" s="37"/>
      <c r="K128" s="37"/>
      <c r="L128" s="37"/>
      <c r="M128" s="37"/>
      <c r="N128" s="37"/>
      <c r="O128" s="37"/>
      <c r="P128" s="37"/>
      <c r="Q128" s="37"/>
      <c r="R128" s="37"/>
      <c r="S128" s="37"/>
      <c r="T128" s="37"/>
      <c r="U128" s="41"/>
      <c r="V128" s="41"/>
      <c r="W128" s="41"/>
      <c r="X128" s="41"/>
      <c r="Y128" s="41"/>
      <c r="Z128" s="41"/>
      <c r="AA128" s="41"/>
      <c r="AB128" s="41"/>
      <c r="AC128" s="41"/>
      <c r="AD128" s="41"/>
      <c r="AE128" s="57"/>
      <c r="AF128" s="42"/>
      <c r="AG128" s="41"/>
      <c r="AH128" s="41"/>
      <c r="AI128" s="41"/>
      <c r="AJ128" s="43"/>
      <c r="CH128" s="33">
        <v>46</v>
      </c>
      <c r="CI128" s="33">
        <f t="shared" ca="1" si="84"/>
        <v>204.13458333333332</v>
      </c>
      <c r="CJ128" s="33">
        <f t="shared" si="85"/>
        <v>17.404220419595159</v>
      </c>
      <c r="CK128" s="33">
        <f t="shared" ca="1" si="68"/>
        <v>0</v>
      </c>
      <c r="CL128" s="29">
        <v>45</v>
      </c>
      <c r="CN128" s="33">
        <v>46</v>
      </c>
      <c r="CO128" s="33">
        <f t="shared" ca="1" si="69"/>
        <v>217.44770833333331</v>
      </c>
      <c r="CP128" s="33">
        <f t="shared" si="70"/>
        <v>45.98711829090503</v>
      </c>
      <c r="CQ128" s="33">
        <f t="shared" ca="1" si="71"/>
        <v>0</v>
      </c>
      <c r="CR128" s="29">
        <v>45</v>
      </c>
      <c r="CT128" s="33">
        <v>46</v>
      </c>
      <c r="CU128" s="33">
        <f t="shared" ca="1" si="72"/>
        <v>244.07395833333334</v>
      </c>
      <c r="CV128" s="33">
        <f t="shared" si="73"/>
        <v>91.985383738885375</v>
      </c>
      <c r="CW128" s="33">
        <f t="shared" ca="1" si="74"/>
        <v>0</v>
      </c>
      <c r="CX128" s="29">
        <v>45</v>
      </c>
      <c r="CZ128" s="33">
        <v>46</v>
      </c>
      <c r="DA128" s="33">
        <f t="shared" ca="1" si="75"/>
        <v>288.45104166666664</v>
      </c>
      <c r="DB128" s="33">
        <f t="shared" si="76"/>
        <v>185.78759355492883</v>
      </c>
      <c r="DC128" s="33">
        <f t="shared" ca="1" si="77"/>
        <v>0</v>
      </c>
      <c r="DD128" s="29">
        <v>45</v>
      </c>
      <c r="DF128" s="60">
        <v>46</v>
      </c>
      <c r="DG128" s="60">
        <f t="shared" ca="1" si="78"/>
        <v>381.64291666666668</v>
      </c>
      <c r="DH128" s="60">
        <f t="shared" si="79"/>
        <v>321.72679669237266</v>
      </c>
      <c r="DI128" s="60">
        <f t="shared" ca="1" si="80"/>
        <v>0</v>
      </c>
      <c r="DJ128" s="51">
        <v>45</v>
      </c>
      <c r="DL128" s="60">
        <v>46</v>
      </c>
      <c r="DM128" s="60">
        <f t="shared" ca="1" si="81"/>
        <v>519.21187499999996</v>
      </c>
      <c r="DN128" s="60">
        <f t="shared" si="82"/>
        <v>684.66650030359824</v>
      </c>
      <c r="DO128" s="60">
        <f t="shared" ca="1" si="83"/>
        <v>165.45462530359828</v>
      </c>
      <c r="DP128" s="51">
        <v>45</v>
      </c>
      <c r="EG128" s="26"/>
      <c r="EH128" s="26">
        <v>1000</v>
      </c>
      <c r="EI128" s="26">
        <v>116.3</v>
      </c>
      <c r="EJ128" s="26">
        <v>93.9</v>
      </c>
      <c r="EK128" s="26">
        <v>81.3</v>
      </c>
      <c r="EL128" s="26">
        <v>62.7</v>
      </c>
      <c r="EM128" s="26">
        <v>52.5</v>
      </c>
      <c r="EN128" s="26">
        <v>45.9</v>
      </c>
      <c r="EO128" s="26">
        <v>32.5</v>
      </c>
      <c r="EP128" s="26">
        <v>21.8</v>
      </c>
      <c r="EQ128" s="26">
        <v>14</v>
      </c>
    </row>
    <row r="129" spans="2:147">
      <c r="B129" s="9"/>
      <c r="C129" s="10"/>
      <c r="D129" s="10"/>
      <c r="E129" s="10"/>
      <c r="F129" s="11"/>
      <c r="G129" s="58"/>
      <c r="H129" s="37"/>
      <c r="I129" s="37"/>
      <c r="J129" s="37"/>
      <c r="K129" s="37"/>
      <c r="L129" s="37"/>
      <c r="M129" s="37"/>
      <c r="N129" s="37"/>
      <c r="O129" s="37"/>
      <c r="P129" s="37"/>
      <c r="Q129" s="37"/>
      <c r="R129" s="37"/>
      <c r="S129" s="37"/>
      <c r="T129" s="37"/>
      <c r="U129" s="41"/>
      <c r="V129" s="41"/>
      <c r="W129" s="41"/>
      <c r="X129" s="41"/>
      <c r="Y129" s="41"/>
      <c r="Z129" s="41"/>
      <c r="AA129" s="41"/>
      <c r="AB129" s="41"/>
      <c r="AC129" s="41"/>
      <c r="AD129" s="41"/>
      <c r="AE129" s="57"/>
      <c r="AF129" s="42"/>
      <c r="AG129" s="41"/>
      <c r="AH129" s="41"/>
      <c r="AI129" s="41"/>
      <c r="AJ129" s="43"/>
      <c r="CH129" s="33">
        <v>47</v>
      </c>
      <c r="CI129" s="33">
        <f t="shared" ca="1" si="84"/>
        <v>208.57229166666667</v>
      </c>
      <c r="CJ129" s="33">
        <f t="shared" si="85"/>
        <v>17.455176298933154</v>
      </c>
      <c r="CK129" s="33">
        <f t="shared" ca="1" si="68"/>
        <v>0</v>
      </c>
      <c r="CL129" s="29">
        <v>46</v>
      </c>
      <c r="CN129" s="33">
        <v>47</v>
      </c>
      <c r="CO129" s="33">
        <f t="shared" ca="1" si="69"/>
        <v>221.88541666666666</v>
      </c>
      <c r="CP129" s="33">
        <f t="shared" si="70"/>
        <v>46.080082896141164</v>
      </c>
      <c r="CQ129" s="33">
        <f t="shared" ca="1" si="71"/>
        <v>0</v>
      </c>
      <c r="CR129" s="29">
        <v>46</v>
      </c>
      <c r="CT129" s="33">
        <v>47</v>
      </c>
      <c r="CU129" s="33">
        <f t="shared" ca="1" si="72"/>
        <v>248.51166666666666</v>
      </c>
      <c r="CV129" s="33">
        <f t="shared" si="73"/>
        <v>92.127382046390139</v>
      </c>
      <c r="CW129" s="33">
        <f t="shared" ca="1" si="74"/>
        <v>0</v>
      </c>
      <c r="CX129" s="29">
        <v>46</v>
      </c>
      <c r="CZ129" s="33">
        <v>47</v>
      </c>
      <c r="DA129" s="33">
        <f t="shared" ca="1" si="75"/>
        <v>292.88874999999996</v>
      </c>
      <c r="DB129" s="33">
        <f t="shared" si="76"/>
        <v>186.00597106105826</v>
      </c>
      <c r="DC129" s="33">
        <f t="shared" ca="1" si="77"/>
        <v>0</v>
      </c>
      <c r="DD129" s="29">
        <v>46</v>
      </c>
      <c r="DF129" s="60">
        <v>47</v>
      </c>
      <c r="DG129" s="60">
        <f t="shared" ca="1" si="78"/>
        <v>386.080625</v>
      </c>
      <c r="DH129" s="60">
        <f t="shared" si="79"/>
        <v>322.03108887874328</v>
      </c>
      <c r="DI129" s="60">
        <f t="shared" ca="1" si="80"/>
        <v>0</v>
      </c>
      <c r="DJ129" s="51">
        <v>46</v>
      </c>
      <c r="DL129" s="60">
        <v>47</v>
      </c>
      <c r="DM129" s="60">
        <f t="shared" ca="1" si="81"/>
        <v>523.64958333333334</v>
      </c>
      <c r="DN129" s="60">
        <f t="shared" si="82"/>
        <v>685.11529890908434</v>
      </c>
      <c r="DO129" s="60">
        <f t="shared" ca="1" si="83"/>
        <v>161.46571557575101</v>
      </c>
      <c r="DP129" s="51">
        <v>46</v>
      </c>
    </row>
    <row r="130" spans="2:147">
      <c r="B130" s="9"/>
      <c r="C130" s="10"/>
      <c r="D130" s="10"/>
      <c r="E130" s="10"/>
      <c r="F130" s="11"/>
      <c r="G130" s="58"/>
      <c r="H130" s="37"/>
      <c r="I130" s="37"/>
      <c r="J130" s="37"/>
      <c r="K130" s="37"/>
      <c r="L130" s="37"/>
      <c r="M130" s="37"/>
      <c r="N130" s="37"/>
      <c r="O130" s="37"/>
      <c r="P130" s="37"/>
      <c r="Q130" s="37"/>
      <c r="R130" s="37"/>
      <c r="S130" s="37"/>
      <c r="T130" s="37"/>
      <c r="U130" s="41"/>
      <c r="V130" s="41"/>
      <c r="W130" s="41"/>
      <c r="X130" s="41"/>
      <c r="Y130" s="41"/>
      <c r="Z130" s="41"/>
      <c r="AA130" s="41"/>
      <c r="AB130" s="41"/>
      <c r="AC130" s="41"/>
      <c r="AD130" s="41"/>
      <c r="AE130" s="57"/>
      <c r="AF130" s="42"/>
      <c r="AG130" s="41"/>
      <c r="AH130" s="41"/>
      <c r="AI130" s="41"/>
      <c r="AJ130" s="43"/>
      <c r="CH130" s="33">
        <v>48</v>
      </c>
      <c r="CI130" s="33">
        <f t="shared" ca="1" si="84"/>
        <v>213.01</v>
      </c>
      <c r="CJ130" s="33">
        <f t="shared" si="85"/>
        <v>17.506132178271145</v>
      </c>
      <c r="CK130" s="33">
        <f t="shared" ca="1" si="68"/>
        <v>0</v>
      </c>
      <c r="CL130" s="29">
        <v>47</v>
      </c>
      <c r="CN130" s="33">
        <v>48</v>
      </c>
      <c r="CO130" s="33">
        <f t="shared" ca="1" si="69"/>
        <v>226.323125</v>
      </c>
      <c r="CP130" s="33">
        <f t="shared" si="70"/>
        <v>46.173047501377297</v>
      </c>
      <c r="CQ130" s="33">
        <f t="shared" ca="1" si="71"/>
        <v>0</v>
      </c>
      <c r="CR130" s="29">
        <v>47</v>
      </c>
      <c r="CT130" s="33">
        <v>48</v>
      </c>
      <c r="CU130" s="33">
        <f t="shared" ca="1" si="72"/>
        <v>252.94937499999997</v>
      </c>
      <c r="CV130" s="33">
        <f t="shared" si="73"/>
        <v>92.269380353894903</v>
      </c>
      <c r="CW130" s="33">
        <f t="shared" ca="1" si="74"/>
        <v>0</v>
      </c>
      <c r="CX130" s="29">
        <v>47</v>
      </c>
      <c r="CZ130" s="33">
        <v>48</v>
      </c>
      <c r="DA130" s="33">
        <f t="shared" ca="1" si="75"/>
        <v>297.32645833333333</v>
      </c>
      <c r="DB130" s="33">
        <f t="shared" si="76"/>
        <v>186.22434856718772</v>
      </c>
      <c r="DC130" s="33">
        <f t="shared" ca="1" si="77"/>
        <v>0</v>
      </c>
      <c r="DD130" s="29">
        <v>47</v>
      </c>
      <c r="DF130" s="60">
        <v>48</v>
      </c>
      <c r="DG130" s="60">
        <f t="shared" ca="1" si="78"/>
        <v>390.51833333333332</v>
      </c>
      <c r="DH130" s="60">
        <f t="shared" si="79"/>
        <v>322.33538106511395</v>
      </c>
      <c r="DI130" s="60">
        <f t="shared" ca="1" si="80"/>
        <v>0</v>
      </c>
      <c r="DJ130" s="51">
        <v>47</v>
      </c>
      <c r="DL130" s="60">
        <v>48</v>
      </c>
      <c r="DM130" s="60">
        <f t="shared" ca="1" si="81"/>
        <v>528.0872916666666</v>
      </c>
      <c r="DN130" s="60">
        <f t="shared" si="82"/>
        <v>685.56409751457011</v>
      </c>
      <c r="DO130" s="60">
        <f t="shared" ca="1" si="83"/>
        <v>157.47680584790351</v>
      </c>
      <c r="DP130" s="51">
        <v>47</v>
      </c>
      <c r="EG130" s="28" t="s">
        <v>36</v>
      </c>
      <c r="EH130" s="28" t="s">
        <v>16</v>
      </c>
      <c r="EI130" s="28" t="s">
        <v>37</v>
      </c>
      <c r="EJ130" s="28"/>
      <c r="EK130" s="28"/>
      <c r="EL130" s="28"/>
      <c r="EM130" s="28"/>
      <c r="EN130" s="28"/>
      <c r="EO130" s="28"/>
      <c r="EP130" s="28"/>
      <c r="EQ130" s="28"/>
    </row>
    <row r="131" spans="2:147">
      <c r="B131" s="9"/>
      <c r="C131" s="10"/>
      <c r="D131" s="10"/>
      <c r="E131" s="10"/>
      <c r="F131" s="11"/>
      <c r="G131" s="58"/>
      <c r="H131" s="37"/>
      <c r="I131" s="37"/>
      <c r="J131" s="37"/>
      <c r="K131" s="37"/>
      <c r="L131" s="37"/>
      <c r="M131" s="37"/>
      <c r="N131" s="37"/>
      <c r="O131" s="37"/>
      <c r="P131" s="37"/>
      <c r="Q131" s="37"/>
      <c r="R131" s="37"/>
      <c r="S131" s="37"/>
      <c r="T131" s="37"/>
      <c r="U131" s="41"/>
      <c r="V131" s="41"/>
      <c r="W131" s="41"/>
      <c r="X131" s="41"/>
      <c r="Y131" s="41"/>
      <c r="Z131" s="41"/>
      <c r="AA131" s="41"/>
      <c r="AB131" s="41"/>
      <c r="AC131" s="41"/>
      <c r="AD131" s="41"/>
      <c r="AE131" s="57"/>
      <c r="AF131" s="42"/>
      <c r="AG131" s="41"/>
      <c r="AH131" s="41"/>
      <c r="AI131" s="41"/>
      <c r="AJ131" s="43"/>
      <c r="CH131" s="33">
        <v>49</v>
      </c>
      <c r="CI131" s="33">
        <f t="shared" ca="1" si="84"/>
        <v>217.44770833333331</v>
      </c>
      <c r="CJ131" s="33">
        <f t="shared" si="85"/>
        <v>17.557088057609135</v>
      </c>
      <c r="CK131" s="33">
        <f t="shared" ca="1" si="68"/>
        <v>0</v>
      </c>
      <c r="CL131" s="29">
        <v>48</v>
      </c>
      <c r="CN131" s="33">
        <v>49</v>
      </c>
      <c r="CO131" s="33">
        <f t="shared" ca="1" si="69"/>
        <v>230.76083333333332</v>
      </c>
      <c r="CP131" s="33">
        <f t="shared" si="70"/>
        <v>46.266012106613438</v>
      </c>
      <c r="CQ131" s="33">
        <f t="shared" ca="1" si="71"/>
        <v>0</v>
      </c>
      <c r="CR131" s="29">
        <v>48</v>
      </c>
      <c r="CT131" s="33">
        <v>49</v>
      </c>
      <c r="CU131" s="33">
        <f t="shared" ca="1" si="72"/>
        <v>257.38708333333329</v>
      </c>
      <c r="CV131" s="33">
        <f t="shared" si="73"/>
        <v>92.411378661399667</v>
      </c>
      <c r="CW131" s="33">
        <f t="shared" ca="1" si="74"/>
        <v>0</v>
      </c>
      <c r="CX131" s="29">
        <v>48</v>
      </c>
      <c r="CZ131" s="33">
        <v>49</v>
      </c>
      <c r="DA131" s="33">
        <f t="shared" ca="1" si="75"/>
        <v>301.76416666666665</v>
      </c>
      <c r="DB131" s="33">
        <f t="shared" si="76"/>
        <v>186.44272607331717</v>
      </c>
      <c r="DC131" s="33">
        <f t="shared" ca="1" si="77"/>
        <v>0</v>
      </c>
      <c r="DD131" s="29">
        <v>48</v>
      </c>
      <c r="DF131" s="60">
        <v>49</v>
      </c>
      <c r="DG131" s="60">
        <f t="shared" ca="1" si="78"/>
        <v>394.95604166666664</v>
      </c>
      <c r="DH131" s="60">
        <f t="shared" si="79"/>
        <v>322.63967325148457</v>
      </c>
      <c r="DI131" s="60">
        <f t="shared" ca="1" si="80"/>
        <v>0</v>
      </c>
      <c r="DJ131" s="51">
        <v>48</v>
      </c>
      <c r="DL131" s="60">
        <v>49</v>
      </c>
      <c r="DM131" s="60">
        <f t="shared" ca="1" si="81"/>
        <v>532.52499999999998</v>
      </c>
      <c r="DN131" s="60">
        <f t="shared" si="82"/>
        <v>686.01289612005621</v>
      </c>
      <c r="DO131" s="60">
        <f t="shared" ca="1" si="83"/>
        <v>153.48789612005623</v>
      </c>
      <c r="DP131" s="51">
        <v>48</v>
      </c>
      <c r="EG131" s="28"/>
      <c r="EH131" s="28"/>
      <c r="EI131" s="28">
        <v>5</v>
      </c>
      <c r="EJ131" s="28">
        <v>10</v>
      </c>
      <c r="EK131" s="28">
        <v>15</v>
      </c>
      <c r="EL131" s="28">
        <v>30</v>
      </c>
      <c r="EM131" s="28">
        <v>45</v>
      </c>
      <c r="EN131" s="28">
        <v>60</v>
      </c>
      <c r="EO131" s="28">
        <v>120</v>
      </c>
      <c r="EP131" s="28">
        <v>240</v>
      </c>
      <c r="EQ131" s="28">
        <v>480</v>
      </c>
    </row>
    <row r="132" spans="2:147">
      <c r="B132" s="9"/>
      <c r="C132" s="10"/>
      <c r="D132" s="10"/>
      <c r="E132" s="10"/>
      <c r="F132" s="11"/>
      <c r="G132" s="58"/>
      <c r="H132" s="37"/>
      <c r="I132" s="37"/>
      <c r="J132" s="37"/>
      <c r="K132" s="37"/>
      <c r="L132" s="37"/>
      <c r="M132" s="37"/>
      <c r="N132" s="37"/>
      <c r="O132" s="37"/>
      <c r="P132" s="37"/>
      <c r="Q132" s="37"/>
      <c r="R132" s="37"/>
      <c r="S132" s="37"/>
      <c r="T132" s="37"/>
      <c r="U132" s="41"/>
      <c r="V132" s="41"/>
      <c r="W132" s="41"/>
      <c r="X132" s="41"/>
      <c r="Y132" s="41"/>
      <c r="Z132" s="41"/>
      <c r="AA132" s="41"/>
      <c r="AB132" s="41"/>
      <c r="AC132" s="41"/>
      <c r="AD132" s="41"/>
      <c r="AE132" s="57"/>
      <c r="AF132" s="42"/>
      <c r="AG132" s="41"/>
      <c r="AH132" s="41"/>
      <c r="AI132" s="41"/>
      <c r="AJ132" s="43"/>
      <c r="CH132" s="33">
        <v>50</v>
      </c>
      <c r="CI132" s="33">
        <f t="shared" ca="1" si="84"/>
        <v>221.88541666666666</v>
      </c>
      <c r="CJ132" s="33">
        <f t="shared" si="85"/>
        <v>17.608043936947126</v>
      </c>
      <c r="CK132" s="33">
        <f t="shared" ca="1" si="68"/>
        <v>0</v>
      </c>
      <c r="CL132" s="29">
        <v>49</v>
      </c>
      <c r="CN132" s="33">
        <v>50</v>
      </c>
      <c r="CO132" s="33">
        <f t="shared" ca="1" si="69"/>
        <v>235.19854166666664</v>
      </c>
      <c r="CP132" s="33">
        <f t="shared" si="70"/>
        <v>46.358976711849571</v>
      </c>
      <c r="CQ132" s="33">
        <f t="shared" ca="1" si="71"/>
        <v>0</v>
      </c>
      <c r="CR132" s="29">
        <v>49</v>
      </c>
      <c r="CT132" s="33">
        <v>50</v>
      </c>
      <c r="CU132" s="33">
        <f t="shared" ca="1" si="72"/>
        <v>261.82479166666667</v>
      </c>
      <c r="CV132" s="33">
        <f t="shared" si="73"/>
        <v>92.553376968904431</v>
      </c>
      <c r="CW132" s="33">
        <f t="shared" ca="1" si="74"/>
        <v>0</v>
      </c>
      <c r="CX132" s="29">
        <v>49</v>
      </c>
      <c r="CZ132" s="33">
        <v>50</v>
      </c>
      <c r="DA132" s="33">
        <f t="shared" ca="1" si="75"/>
        <v>306.20187499999997</v>
      </c>
      <c r="DB132" s="33">
        <f t="shared" si="76"/>
        <v>186.66110357944663</v>
      </c>
      <c r="DC132" s="33">
        <f t="shared" ca="1" si="77"/>
        <v>0</v>
      </c>
      <c r="DD132" s="29">
        <v>49</v>
      </c>
      <c r="DF132" s="60">
        <v>50</v>
      </c>
      <c r="DG132" s="60">
        <f t="shared" ca="1" si="78"/>
        <v>399.39374999999995</v>
      </c>
      <c r="DH132" s="60">
        <f t="shared" si="79"/>
        <v>322.94396543785518</v>
      </c>
      <c r="DI132" s="60">
        <f t="shared" ca="1" si="80"/>
        <v>0</v>
      </c>
      <c r="DJ132" s="51">
        <v>49</v>
      </c>
      <c r="DL132" s="60">
        <v>50</v>
      </c>
      <c r="DM132" s="60">
        <f t="shared" ca="1" si="81"/>
        <v>536.96270833333335</v>
      </c>
      <c r="DN132" s="60">
        <f t="shared" si="82"/>
        <v>686.46169472554209</v>
      </c>
      <c r="DO132" s="60">
        <f t="shared" ca="1" si="83"/>
        <v>149.49898639220874</v>
      </c>
      <c r="DP132" s="51">
        <v>49</v>
      </c>
      <c r="EG132" s="28" t="s">
        <v>38</v>
      </c>
      <c r="EH132" s="28">
        <v>1</v>
      </c>
      <c r="EI132" s="28">
        <v>40.1</v>
      </c>
      <c r="EJ132" s="28">
        <v>29.9</v>
      </c>
      <c r="EK132" s="28">
        <v>24.7</v>
      </c>
      <c r="EL132" s="28">
        <v>17.7</v>
      </c>
      <c r="EM132" s="28">
        <v>14.5</v>
      </c>
      <c r="EN132" s="28">
        <v>12.7</v>
      </c>
      <c r="EO132" s="28">
        <v>9</v>
      </c>
      <c r="EP132" s="28">
        <v>6.4</v>
      </c>
      <c r="EQ132" s="28">
        <v>4</v>
      </c>
    </row>
    <row r="133" spans="2:147">
      <c r="B133" s="9"/>
      <c r="C133" s="10"/>
      <c r="D133" s="10"/>
      <c r="E133" s="10"/>
      <c r="F133" s="11"/>
      <c r="G133" s="58"/>
      <c r="H133" s="37"/>
      <c r="I133" s="37"/>
      <c r="J133" s="37"/>
      <c r="K133" s="37"/>
      <c r="L133" s="37"/>
      <c r="M133" s="37"/>
      <c r="N133" s="37"/>
      <c r="O133" s="37"/>
      <c r="P133" s="37"/>
      <c r="Q133" s="37"/>
      <c r="R133" s="37"/>
      <c r="S133" s="37"/>
      <c r="T133" s="37"/>
      <c r="U133" s="41"/>
      <c r="V133" s="41"/>
      <c r="W133" s="41"/>
      <c r="X133" s="41"/>
      <c r="Y133" s="41"/>
      <c r="Z133" s="41"/>
      <c r="AA133" s="41"/>
      <c r="AB133" s="41"/>
      <c r="AC133" s="41"/>
      <c r="AD133" s="41"/>
      <c r="AE133" s="57"/>
      <c r="AF133" s="42"/>
      <c r="AG133" s="41"/>
      <c r="AH133" s="41"/>
      <c r="AI133" s="41"/>
      <c r="AJ133" s="43"/>
      <c r="CH133" s="33">
        <v>51</v>
      </c>
      <c r="CI133" s="33">
        <f t="shared" ca="1" si="84"/>
        <v>226.323125</v>
      </c>
      <c r="CJ133" s="33">
        <f t="shared" si="85"/>
        <v>17.658999816285121</v>
      </c>
      <c r="CK133" s="33">
        <f t="shared" ca="1" si="68"/>
        <v>0</v>
      </c>
      <c r="CL133" s="29">
        <v>50</v>
      </c>
      <c r="CN133" s="33">
        <v>51</v>
      </c>
      <c r="CO133" s="33">
        <f t="shared" ca="1" si="69"/>
        <v>239.63624999999999</v>
      </c>
      <c r="CP133" s="33">
        <f t="shared" si="70"/>
        <v>46.451941317085705</v>
      </c>
      <c r="CQ133" s="33">
        <f t="shared" ca="1" si="71"/>
        <v>0</v>
      </c>
      <c r="CR133" s="29">
        <v>50</v>
      </c>
      <c r="CT133" s="33">
        <v>51</v>
      </c>
      <c r="CU133" s="33">
        <f t="shared" ca="1" si="72"/>
        <v>266.26249999999999</v>
      </c>
      <c r="CV133" s="33">
        <f t="shared" si="73"/>
        <v>92.695375276409209</v>
      </c>
      <c r="CW133" s="33">
        <f t="shared" ca="1" si="74"/>
        <v>0</v>
      </c>
      <c r="CX133" s="29">
        <v>50</v>
      </c>
      <c r="CZ133" s="33">
        <v>51</v>
      </c>
      <c r="DA133" s="33">
        <f t="shared" ca="1" si="75"/>
        <v>310.63958333333335</v>
      </c>
      <c r="DB133" s="33">
        <f t="shared" si="76"/>
        <v>186.87948108557609</v>
      </c>
      <c r="DC133" s="33">
        <f t="shared" ca="1" si="77"/>
        <v>0</v>
      </c>
      <c r="DD133" s="29">
        <v>50</v>
      </c>
      <c r="DF133" s="60">
        <v>51</v>
      </c>
      <c r="DG133" s="60">
        <f t="shared" ca="1" si="78"/>
        <v>403.83145833333333</v>
      </c>
      <c r="DH133" s="60">
        <f t="shared" si="79"/>
        <v>323.2482576242258</v>
      </c>
      <c r="DI133" s="60">
        <f t="shared" ca="1" si="80"/>
        <v>0</v>
      </c>
      <c r="DJ133" s="51">
        <v>50</v>
      </c>
      <c r="DL133" s="60">
        <v>51</v>
      </c>
      <c r="DM133" s="60">
        <f t="shared" ca="1" si="81"/>
        <v>541.40041666666662</v>
      </c>
      <c r="DN133" s="60">
        <f t="shared" si="82"/>
        <v>686.91049333102808</v>
      </c>
      <c r="DO133" s="60">
        <f t="shared" ca="1" si="83"/>
        <v>145.51007666436146</v>
      </c>
      <c r="DP133" s="51">
        <v>50</v>
      </c>
      <c r="EG133" s="28">
        <v>20</v>
      </c>
      <c r="EH133" s="28">
        <v>2</v>
      </c>
      <c r="EI133" s="28">
        <v>47.9</v>
      </c>
      <c r="EJ133" s="28">
        <v>37.5</v>
      </c>
      <c r="EK133" s="28">
        <v>31.6</v>
      </c>
      <c r="EL133" s="28">
        <v>22.9</v>
      </c>
      <c r="EM133" s="28">
        <v>18.7</v>
      </c>
      <c r="EN133" s="28">
        <v>16.100000000000001</v>
      </c>
      <c r="EO133" s="28">
        <v>11.2</v>
      </c>
      <c r="EP133" s="28">
        <v>7.7</v>
      </c>
      <c r="EQ133" s="28">
        <v>5</v>
      </c>
    </row>
    <row r="134" spans="2:147">
      <c r="B134" s="9"/>
      <c r="C134" s="10"/>
      <c r="D134" s="10"/>
      <c r="E134" s="10"/>
      <c r="F134" s="11"/>
      <c r="G134" s="58"/>
      <c r="H134" s="37"/>
      <c r="I134" s="37"/>
      <c r="J134" s="37"/>
      <c r="K134" s="37"/>
      <c r="L134" s="37"/>
      <c r="M134" s="37"/>
      <c r="N134" s="37"/>
      <c r="O134" s="37"/>
      <c r="P134" s="37"/>
      <c r="Q134" s="37"/>
      <c r="R134" s="37"/>
      <c r="S134" s="37"/>
      <c r="T134" s="37"/>
      <c r="U134" s="41"/>
      <c r="V134" s="41"/>
      <c r="W134" s="41"/>
      <c r="X134" s="41"/>
      <c r="Y134" s="41"/>
      <c r="Z134" s="41"/>
      <c r="AA134" s="41"/>
      <c r="AB134" s="41"/>
      <c r="AC134" s="41"/>
      <c r="AD134" s="41"/>
      <c r="AE134" s="57"/>
      <c r="AF134" s="42"/>
      <c r="AG134" s="41"/>
      <c r="AH134" s="41"/>
      <c r="AI134" s="41"/>
      <c r="AJ134" s="43"/>
      <c r="CH134" s="33">
        <v>52</v>
      </c>
      <c r="CI134" s="33">
        <f t="shared" ca="1" si="84"/>
        <v>230.76083333333332</v>
      </c>
      <c r="CJ134" s="33">
        <f t="shared" si="85"/>
        <v>17.709955695623112</v>
      </c>
      <c r="CK134" s="33">
        <f t="shared" ca="1" si="68"/>
        <v>0</v>
      </c>
      <c r="CL134" s="29">
        <v>51</v>
      </c>
      <c r="CN134" s="33">
        <v>52</v>
      </c>
      <c r="CO134" s="33">
        <f t="shared" ca="1" si="69"/>
        <v>244.07395833333334</v>
      </c>
      <c r="CP134" s="33">
        <f t="shared" si="70"/>
        <v>46.544905922321831</v>
      </c>
      <c r="CQ134" s="33">
        <f t="shared" ca="1" si="71"/>
        <v>0</v>
      </c>
      <c r="CR134" s="29">
        <v>51</v>
      </c>
      <c r="CT134" s="33">
        <v>52</v>
      </c>
      <c r="CU134" s="33">
        <f t="shared" ca="1" si="72"/>
        <v>270.70020833333331</v>
      </c>
      <c r="CV134" s="33">
        <f t="shared" si="73"/>
        <v>92.837373583913987</v>
      </c>
      <c r="CW134" s="33">
        <f t="shared" ca="1" si="74"/>
        <v>0</v>
      </c>
      <c r="CX134" s="29">
        <v>51</v>
      </c>
      <c r="CZ134" s="33">
        <v>52</v>
      </c>
      <c r="DA134" s="33">
        <f t="shared" ca="1" si="75"/>
        <v>315.07729166666667</v>
      </c>
      <c r="DB134" s="33">
        <f t="shared" si="76"/>
        <v>187.09785859170555</v>
      </c>
      <c r="DC134" s="33">
        <f t="shared" ca="1" si="77"/>
        <v>0</v>
      </c>
      <c r="DD134" s="29">
        <v>51</v>
      </c>
      <c r="DF134" s="60">
        <v>52</v>
      </c>
      <c r="DG134" s="60">
        <f t="shared" ca="1" si="78"/>
        <v>408.26916666666665</v>
      </c>
      <c r="DH134" s="60">
        <f t="shared" si="79"/>
        <v>323.55254981059647</v>
      </c>
      <c r="DI134" s="60">
        <f t="shared" ca="1" si="80"/>
        <v>0</v>
      </c>
      <c r="DJ134" s="51">
        <v>51</v>
      </c>
      <c r="DL134" s="60">
        <v>52</v>
      </c>
      <c r="DM134" s="60">
        <f t="shared" ca="1" si="81"/>
        <v>545.83812499999999</v>
      </c>
      <c r="DN134" s="60">
        <f t="shared" si="82"/>
        <v>687.35929193651418</v>
      </c>
      <c r="DO134" s="60">
        <f t="shared" ca="1" si="83"/>
        <v>141.52116693651419</v>
      </c>
      <c r="DP134" s="51">
        <v>51</v>
      </c>
      <c r="EG134" s="28" t="s">
        <v>39</v>
      </c>
      <c r="EH134" s="28">
        <v>5</v>
      </c>
      <c r="EI134" s="28">
        <v>63.5</v>
      </c>
      <c r="EJ134" s="28">
        <v>49.3</v>
      </c>
      <c r="EK134" s="28">
        <v>41.3</v>
      </c>
      <c r="EL134" s="28">
        <v>29.5</v>
      </c>
      <c r="EM134" s="28">
        <v>23.9</v>
      </c>
      <c r="EN134" s="28">
        <v>20.5</v>
      </c>
      <c r="EO134" s="28">
        <v>14</v>
      </c>
      <c r="EP134" s="28">
        <v>9.4</v>
      </c>
      <c r="EQ134" s="28">
        <v>6</v>
      </c>
    </row>
    <row r="135" spans="2:147">
      <c r="B135" s="9"/>
      <c r="C135" s="10"/>
      <c r="D135" s="10"/>
      <c r="E135" s="10"/>
      <c r="F135" s="11"/>
      <c r="G135" s="58"/>
      <c r="H135" s="37"/>
      <c r="I135" s="37"/>
      <c r="J135" s="37"/>
      <c r="K135" s="37"/>
      <c r="L135" s="37"/>
      <c r="M135" s="37"/>
      <c r="N135" s="37"/>
      <c r="O135" s="37"/>
      <c r="P135" s="37"/>
      <c r="Q135" s="37"/>
      <c r="R135" s="37"/>
      <c r="S135" s="37"/>
      <c r="T135" s="37"/>
      <c r="U135" s="41"/>
      <c r="V135" s="41"/>
      <c r="W135" s="41"/>
      <c r="X135" s="41"/>
      <c r="Y135" s="41"/>
      <c r="Z135" s="41"/>
      <c r="AA135" s="41"/>
      <c r="AB135" s="41"/>
      <c r="AC135" s="41"/>
      <c r="AD135" s="41"/>
      <c r="AE135" s="57"/>
      <c r="AF135" s="42"/>
      <c r="AG135" s="41"/>
      <c r="AH135" s="41"/>
      <c r="AI135" s="41"/>
      <c r="AJ135" s="43"/>
      <c r="CH135" s="33">
        <v>53</v>
      </c>
      <c r="CI135" s="33">
        <f t="shared" ca="1" si="84"/>
        <v>235.19854166666664</v>
      </c>
      <c r="CJ135" s="33">
        <f t="shared" si="85"/>
        <v>17.760911574961103</v>
      </c>
      <c r="CK135" s="33">
        <f t="shared" ca="1" si="68"/>
        <v>0</v>
      </c>
      <c r="CL135" s="29">
        <v>52</v>
      </c>
      <c r="CN135" s="33">
        <v>53</v>
      </c>
      <c r="CO135" s="33">
        <f t="shared" ca="1" si="69"/>
        <v>248.51166666666666</v>
      </c>
      <c r="CP135" s="33">
        <f t="shared" si="70"/>
        <v>46.637870527557965</v>
      </c>
      <c r="CQ135" s="33">
        <f t="shared" ca="1" si="71"/>
        <v>0</v>
      </c>
      <c r="CR135" s="29">
        <v>52</v>
      </c>
      <c r="CT135" s="33">
        <v>53</v>
      </c>
      <c r="CU135" s="33">
        <f t="shared" ca="1" si="72"/>
        <v>275.13791666666668</v>
      </c>
      <c r="CV135" s="33">
        <f t="shared" si="73"/>
        <v>92.979371891418751</v>
      </c>
      <c r="CW135" s="33">
        <f t="shared" ca="1" si="74"/>
        <v>0</v>
      </c>
      <c r="CX135" s="29">
        <v>52</v>
      </c>
      <c r="CZ135" s="33">
        <v>53</v>
      </c>
      <c r="DA135" s="33">
        <f t="shared" ca="1" si="75"/>
        <v>319.51499999999999</v>
      </c>
      <c r="DB135" s="33">
        <f t="shared" si="76"/>
        <v>187.31623609783497</v>
      </c>
      <c r="DC135" s="33">
        <f t="shared" ca="1" si="77"/>
        <v>0</v>
      </c>
      <c r="DD135" s="29">
        <v>52</v>
      </c>
      <c r="DF135" s="60">
        <v>53</v>
      </c>
      <c r="DG135" s="60">
        <f t="shared" ca="1" si="78"/>
        <v>412.70687499999997</v>
      </c>
      <c r="DH135" s="60">
        <f t="shared" si="79"/>
        <v>323.85684199696715</v>
      </c>
      <c r="DI135" s="60">
        <f t="shared" ca="1" si="80"/>
        <v>0</v>
      </c>
      <c r="DJ135" s="51">
        <v>52</v>
      </c>
      <c r="DL135" s="60">
        <v>53</v>
      </c>
      <c r="DM135" s="60">
        <f t="shared" ca="1" si="81"/>
        <v>550.27583333333337</v>
      </c>
      <c r="DN135" s="60">
        <f t="shared" si="82"/>
        <v>687.80809054199995</v>
      </c>
      <c r="DO135" s="60">
        <f t="shared" ca="1" si="83"/>
        <v>137.53225720866658</v>
      </c>
      <c r="DP135" s="51">
        <v>52</v>
      </c>
      <c r="EG135" s="28">
        <v>0.2</v>
      </c>
      <c r="EH135" s="28">
        <v>10</v>
      </c>
      <c r="EI135" s="28">
        <v>72.3</v>
      </c>
      <c r="EJ135" s="28">
        <v>56.6</v>
      </c>
      <c r="EK135" s="28">
        <v>47.8</v>
      </c>
      <c r="EL135" s="28">
        <v>34.4</v>
      </c>
      <c r="EM135" s="28">
        <v>28</v>
      </c>
      <c r="EN135" s="28">
        <v>24</v>
      </c>
      <c r="EO135" s="28">
        <v>16.3</v>
      </c>
      <c r="EP135" s="28">
        <v>10.9</v>
      </c>
      <c r="EQ135" s="28">
        <v>7</v>
      </c>
    </row>
    <row r="136" spans="2:147">
      <c r="B136" s="9"/>
      <c r="C136" s="10"/>
      <c r="D136" s="10"/>
      <c r="E136" s="10"/>
      <c r="F136" s="11"/>
      <c r="G136" s="39"/>
      <c r="H136" s="37"/>
      <c r="I136" s="37"/>
      <c r="J136" s="37"/>
      <c r="K136" s="37"/>
      <c r="L136" s="37"/>
      <c r="M136" s="37"/>
      <c r="N136" s="37"/>
      <c r="O136" s="37"/>
      <c r="P136" s="37"/>
      <c r="Q136" s="37"/>
      <c r="R136" s="37"/>
      <c r="S136" s="37"/>
      <c r="T136" s="37"/>
      <c r="U136" s="41"/>
      <c r="V136" s="41"/>
      <c r="W136" s="41"/>
      <c r="X136" s="41"/>
      <c r="Y136" s="41"/>
      <c r="Z136" s="41"/>
      <c r="AA136" s="41"/>
      <c r="AB136" s="41"/>
      <c r="AC136" s="41"/>
      <c r="AD136" s="41"/>
      <c r="AE136" s="34"/>
      <c r="AF136" s="42"/>
      <c r="AG136" s="41"/>
      <c r="AH136" s="41"/>
      <c r="AI136" s="41"/>
      <c r="AJ136" s="43"/>
      <c r="CH136" s="33">
        <v>54</v>
      </c>
      <c r="CI136" s="33">
        <f t="shared" ca="1" si="84"/>
        <v>239.63624999999999</v>
      </c>
      <c r="CJ136" s="33">
        <f t="shared" si="85"/>
        <v>17.811867454299097</v>
      </c>
      <c r="CK136" s="33">
        <f t="shared" ca="1" si="68"/>
        <v>0</v>
      </c>
      <c r="CL136" s="29">
        <v>53</v>
      </c>
      <c r="CN136" s="33">
        <v>54</v>
      </c>
      <c r="CO136" s="33">
        <f t="shared" ca="1" si="69"/>
        <v>252.94937499999997</v>
      </c>
      <c r="CP136" s="33">
        <f t="shared" si="70"/>
        <v>46.730835132794105</v>
      </c>
      <c r="CQ136" s="33">
        <f t="shared" ca="1" si="71"/>
        <v>0</v>
      </c>
      <c r="CR136" s="29">
        <v>53</v>
      </c>
      <c r="CT136" s="33">
        <v>54</v>
      </c>
      <c r="CU136" s="33">
        <f t="shared" ca="1" si="72"/>
        <v>279.575625</v>
      </c>
      <c r="CV136" s="33">
        <f t="shared" si="73"/>
        <v>93.121370198923515</v>
      </c>
      <c r="CW136" s="33">
        <f t="shared" ca="1" si="74"/>
        <v>0</v>
      </c>
      <c r="CX136" s="29">
        <v>53</v>
      </c>
      <c r="CZ136" s="33">
        <v>54</v>
      </c>
      <c r="DA136" s="33">
        <f t="shared" ca="1" si="75"/>
        <v>323.95270833333331</v>
      </c>
      <c r="DB136" s="33">
        <f t="shared" si="76"/>
        <v>187.53461360396446</v>
      </c>
      <c r="DC136" s="33">
        <f t="shared" ca="1" si="77"/>
        <v>0</v>
      </c>
      <c r="DD136" s="29">
        <v>53</v>
      </c>
      <c r="DF136" s="60">
        <v>54</v>
      </c>
      <c r="DG136" s="60">
        <f t="shared" ca="1" si="78"/>
        <v>417.14458333333334</v>
      </c>
      <c r="DH136" s="60">
        <f t="shared" si="79"/>
        <v>324.16113418333777</v>
      </c>
      <c r="DI136" s="60">
        <f t="shared" ca="1" si="80"/>
        <v>0</v>
      </c>
      <c r="DJ136" s="51">
        <v>53</v>
      </c>
      <c r="DL136" s="60">
        <v>54</v>
      </c>
      <c r="DM136" s="60">
        <f t="shared" ca="1" si="81"/>
        <v>554.71354166666663</v>
      </c>
      <c r="DN136" s="60">
        <f t="shared" si="82"/>
        <v>688.25688914748605</v>
      </c>
      <c r="DO136" s="60">
        <f t="shared" ca="1" si="83"/>
        <v>133.54334748081942</v>
      </c>
      <c r="DP136" s="51">
        <v>53</v>
      </c>
      <c r="EG136" s="28"/>
      <c r="EH136" s="28">
        <v>15</v>
      </c>
      <c r="EI136" s="28">
        <v>78</v>
      </c>
      <c r="EJ136" s="28">
        <v>61.3</v>
      </c>
      <c r="EK136" s="28">
        <v>52</v>
      </c>
      <c r="EL136" s="28">
        <v>37.6</v>
      </c>
      <c r="EM136" s="28">
        <v>30.6</v>
      </c>
      <c r="EN136" s="28">
        <v>26.3</v>
      </c>
      <c r="EO136" s="28">
        <v>17.899999999999999</v>
      </c>
      <c r="EP136" s="28">
        <v>11.9</v>
      </c>
      <c r="EQ136" s="28">
        <v>8</v>
      </c>
    </row>
    <row r="137" spans="2:147">
      <c r="B137" s="9"/>
      <c r="C137" s="10"/>
      <c r="D137" s="10"/>
      <c r="E137" s="10"/>
      <c r="F137" s="11"/>
      <c r="G137" s="39"/>
      <c r="H137" s="37"/>
      <c r="I137" s="37"/>
      <c r="J137" s="37"/>
      <c r="K137" s="37"/>
      <c r="L137" s="37"/>
      <c r="M137" s="37"/>
      <c r="N137" s="37"/>
      <c r="O137" s="37"/>
      <c r="P137" s="37"/>
      <c r="Q137" s="37"/>
      <c r="R137" s="37"/>
      <c r="S137" s="37"/>
      <c r="T137" s="37"/>
      <c r="U137" s="41"/>
      <c r="V137" s="41"/>
      <c r="W137" s="41"/>
      <c r="X137" s="41"/>
      <c r="Y137" s="41"/>
      <c r="Z137" s="41"/>
      <c r="AA137" s="41"/>
      <c r="AB137" s="41"/>
      <c r="AC137" s="41"/>
      <c r="AD137" s="41"/>
      <c r="AE137" s="34"/>
      <c r="AF137" s="42"/>
      <c r="AG137" s="41"/>
      <c r="AH137" s="41"/>
      <c r="AI137" s="41"/>
      <c r="AJ137" s="43"/>
      <c r="CH137" s="33">
        <v>55</v>
      </c>
      <c r="CI137" s="33">
        <f t="shared" ca="1" si="84"/>
        <v>244.07395833333334</v>
      </c>
      <c r="CJ137" s="33">
        <f t="shared" si="85"/>
        <v>17.862823333637088</v>
      </c>
      <c r="CK137" s="33">
        <f t="shared" ca="1" si="68"/>
        <v>0</v>
      </c>
      <c r="CL137" s="29">
        <v>54</v>
      </c>
      <c r="CN137" s="33">
        <v>55</v>
      </c>
      <c r="CO137" s="33">
        <f t="shared" ca="1" si="69"/>
        <v>257.38708333333329</v>
      </c>
      <c r="CP137" s="33">
        <f t="shared" si="70"/>
        <v>46.823799738030239</v>
      </c>
      <c r="CQ137" s="33">
        <f t="shared" ca="1" si="71"/>
        <v>0</v>
      </c>
      <c r="CR137" s="29">
        <v>54</v>
      </c>
      <c r="CT137" s="33">
        <v>55</v>
      </c>
      <c r="CU137" s="33">
        <f t="shared" ca="1" si="72"/>
        <v>284.01333333333332</v>
      </c>
      <c r="CV137" s="33">
        <f t="shared" si="73"/>
        <v>93.263368506428293</v>
      </c>
      <c r="CW137" s="33">
        <f t="shared" ca="1" si="74"/>
        <v>0</v>
      </c>
      <c r="CX137" s="29">
        <v>54</v>
      </c>
      <c r="CZ137" s="33">
        <v>55</v>
      </c>
      <c r="DA137" s="33">
        <f t="shared" ca="1" si="75"/>
        <v>328.39041666666662</v>
      </c>
      <c r="DB137" s="33">
        <f t="shared" si="76"/>
        <v>187.75299111009389</v>
      </c>
      <c r="DC137" s="33">
        <f t="shared" ca="1" si="77"/>
        <v>0</v>
      </c>
      <c r="DD137" s="29">
        <v>54</v>
      </c>
      <c r="DF137" s="60">
        <v>55</v>
      </c>
      <c r="DG137" s="60">
        <f t="shared" ca="1" si="78"/>
        <v>421.58229166666666</v>
      </c>
      <c r="DH137" s="60">
        <f t="shared" si="79"/>
        <v>324.46542636970844</v>
      </c>
      <c r="DI137" s="60">
        <f t="shared" ca="1" si="80"/>
        <v>0</v>
      </c>
      <c r="DJ137" s="51">
        <v>54</v>
      </c>
      <c r="DL137" s="60">
        <v>55</v>
      </c>
      <c r="DM137" s="60">
        <f t="shared" ca="1" si="81"/>
        <v>559.15125</v>
      </c>
      <c r="DN137" s="60">
        <f t="shared" si="82"/>
        <v>688.70568775297204</v>
      </c>
      <c r="DO137" s="60">
        <f t="shared" ca="1" si="83"/>
        <v>129.55443775297204</v>
      </c>
      <c r="DP137" s="51">
        <v>54</v>
      </c>
      <c r="EG137" s="28"/>
      <c r="EH137" s="28">
        <v>20</v>
      </c>
      <c r="EI137" s="28">
        <v>82.4</v>
      </c>
      <c r="EJ137" s="28">
        <v>65</v>
      </c>
      <c r="EK137" s="28">
        <v>55.3</v>
      </c>
      <c r="EL137" s="28">
        <v>40.1</v>
      </c>
      <c r="EM137" s="28">
        <v>32.700000000000003</v>
      </c>
      <c r="EN137" s="28">
        <v>28.1</v>
      </c>
      <c r="EO137" s="28">
        <v>19.100000000000001</v>
      </c>
      <c r="EP137" s="28">
        <v>12.6</v>
      </c>
      <c r="EQ137" s="28">
        <v>8</v>
      </c>
    </row>
    <row r="138" spans="2:147">
      <c r="B138" s="9"/>
      <c r="C138" s="10"/>
      <c r="D138" s="10"/>
      <c r="E138" s="10"/>
      <c r="F138" s="11"/>
      <c r="G138" s="39"/>
      <c r="H138" s="37"/>
      <c r="I138" s="37"/>
      <c r="J138" s="37"/>
      <c r="K138" s="37"/>
      <c r="L138" s="37"/>
      <c r="M138" s="37"/>
      <c r="N138" s="37"/>
      <c r="O138" s="37"/>
      <c r="P138" s="37"/>
      <c r="Q138" s="37"/>
      <c r="R138" s="37"/>
      <c r="S138" s="37"/>
      <c r="T138" s="37"/>
      <c r="U138" s="41"/>
      <c r="V138" s="41"/>
      <c r="W138" s="41"/>
      <c r="X138" s="41"/>
      <c r="Y138" s="41"/>
      <c r="Z138" s="41"/>
      <c r="AA138" s="41"/>
      <c r="AB138" s="41"/>
      <c r="AC138" s="41"/>
      <c r="AD138" s="41"/>
      <c r="AE138" s="34"/>
      <c r="AF138" s="42"/>
      <c r="AG138" s="41"/>
      <c r="AH138" s="41"/>
      <c r="AI138" s="41"/>
      <c r="AJ138" s="43"/>
      <c r="CH138" s="33">
        <v>56</v>
      </c>
      <c r="CI138" s="33">
        <f t="shared" ca="1" si="84"/>
        <v>248.51166666666666</v>
      </c>
      <c r="CJ138" s="33">
        <f t="shared" si="85"/>
        <v>17.913779212975083</v>
      </c>
      <c r="CK138" s="33">
        <f t="shared" ca="1" si="68"/>
        <v>0</v>
      </c>
      <c r="CL138" s="29">
        <v>55</v>
      </c>
      <c r="CN138" s="33">
        <v>56</v>
      </c>
      <c r="CO138" s="33">
        <f t="shared" ca="1" si="69"/>
        <v>261.82479166666667</v>
      </c>
      <c r="CP138" s="33">
        <f t="shared" si="70"/>
        <v>46.916764343266379</v>
      </c>
      <c r="CQ138" s="33">
        <f t="shared" ca="1" si="71"/>
        <v>0</v>
      </c>
      <c r="CR138" s="29">
        <v>55</v>
      </c>
      <c r="CT138" s="33">
        <v>56</v>
      </c>
      <c r="CU138" s="33">
        <f t="shared" ca="1" si="72"/>
        <v>288.45104166666664</v>
      </c>
      <c r="CV138" s="33">
        <f t="shared" si="73"/>
        <v>93.405366813933043</v>
      </c>
      <c r="CW138" s="33">
        <f t="shared" ca="1" si="74"/>
        <v>0</v>
      </c>
      <c r="CX138" s="29">
        <v>55</v>
      </c>
      <c r="CZ138" s="33">
        <v>56</v>
      </c>
      <c r="DA138" s="33">
        <f t="shared" ca="1" si="75"/>
        <v>332.828125</v>
      </c>
      <c r="DB138" s="33">
        <f t="shared" si="76"/>
        <v>187.97136861622334</v>
      </c>
      <c r="DC138" s="33">
        <f t="shared" ca="1" si="77"/>
        <v>0</v>
      </c>
      <c r="DD138" s="29">
        <v>55</v>
      </c>
      <c r="DF138" s="60">
        <v>56</v>
      </c>
      <c r="DG138" s="60">
        <f t="shared" ca="1" si="78"/>
        <v>426.02</v>
      </c>
      <c r="DH138" s="60">
        <f t="shared" si="79"/>
        <v>324.76971855607906</v>
      </c>
      <c r="DI138" s="60">
        <f t="shared" ca="1" si="80"/>
        <v>0</v>
      </c>
      <c r="DJ138" s="51">
        <v>55</v>
      </c>
      <c r="DL138" s="60">
        <v>56</v>
      </c>
      <c r="DM138" s="60">
        <f t="shared" ca="1" si="81"/>
        <v>563.58895833333327</v>
      </c>
      <c r="DN138" s="60">
        <f t="shared" si="82"/>
        <v>689.15448635845792</v>
      </c>
      <c r="DO138" s="60">
        <f t="shared" ca="1" si="83"/>
        <v>125.56552802512465</v>
      </c>
      <c r="DP138" s="51">
        <v>55</v>
      </c>
      <c r="EG138" s="28"/>
      <c r="EH138" s="28">
        <v>25</v>
      </c>
      <c r="EI138" s="28">
        <v>85.9</v>
      </c>
      <c r="EJ138" s="28">
        <v>67.900000000000006</v>
      </c>
      <c r="EK138" s="28">
        <v>57.9</v>
      </c>
      <c r="EL138" s="28">
        <v>42.1</v>
      </c>
      <c r="EM138" s="28">
        <v>34.4</v>
      </c>
      <c r="EN138" s="28">
        <v>29.6</v>
      </c>
      <c r="EO138" s="28">
        <v>20</v>
      </c>
      <c r="EP138" s="28">
        <v>13.2</v>
      </c>
      <c r="EQ138" s="28">
        <v>9</v>
      </c>
    </row>
    <row r="139" spans="2:147">
      <c r="B139" s="9"/>
      <c r="C139" s="10"/>
      <c r="D139" s="10"/>
      <c r="E139" s="10"/>
      <c r="F139" s="11"/>
      <c r="G139" s="39"/>
      <c r="H139" s="37"/>
      <c r="I139" s="37"/>
      <c r="J139" s="37"/>
      <c r="K139" s="37"/>
      <c r="L139" s="37"/>
      <c r="M139" s="37"/>
      <c r="N139" s="37"/>
      <c r="O139" s="37"/>
      <c r="P139" s="37"/>
      <c r="Q139" s="37"/>
      <c r="R139" s="37"/>
      <c r="S139" s="37"/>
      <c r="T139" s="37"/>
      <c r="U139" s="41"/>
      <c r="V139" s="41"/>
      <c r="W139" s="41"/>
      <c r="X139" s="41"/>
      <c r="Y139" s="41"/>
      <c r="Z139" s="41"/>
      <c r="AA139" s="41"/>
      <c r="AB139" s="41"/>
      <c r="AC139" s="41"/>
      <c r="AD139" s="41"/>
      <c r="AE139" s="34"/>
      <c r="AF139" s="42"/>
      <c r="AG139" s="41"/>
      <c r="AH139" s="41"/>
      <c r="AI139" s="41"/>
      <c r="AJ139" s="43"/>
      <c r="CH139" s="33">
        <v>57</v>
      </c>
      <c r="CI139" s="33">
        <f t="shared" ca="1" si="84"/>
        <v>252.94937499999997</v>
      </c>
      <c r="CJ139" s="33">
        <f t="shared" si="85"/>
        <v>17.964735092313077</v>
      </c>
      <c r="CK139" s="33">
        <f t="shared" ca="1" si="68"/>
        <v>0</v>
      </c>
      <c r="CL139" s="29">
        <v>56</v>
      </c>
      <c r="CN139" s="33">
        <v>57</v>
      </c>
      <c r="CO139" s="33">
        <f t="shared" ca="1" si="69"/>
        <v>266.26249999999999</v>
      </c>
      <c r="CP139" s="33">
        <f t="shared" si="70"/>
        <v>47.009728948502513</v>
      </c>
      <c r="CQ139" s="33">
        <f t="shared" ca="1" si="71"/>
        <v>0</v>
      </c>
      <c r="CR139" s="29">
        <v>56</v>
      </c>
      <c r="CT139" s="33">
        <v>57</v>
      </c>
      <c r="CU139" s="33">
        <f t="shared" ca="1" si="72"/>
        <v>292.88874999999996</v>
      </c>
      <c r="CV139" s="33">
        <f t="shared" si="73"/>
        <v>93.547365121437821</v>
      </c>
      <c r="CW139" s="33">
        <f t="shared" ca="1" si="74"/>
        <v>0</v>
      </c>
      <c r="CX139" s="29">
        <v>56</v>
      </c>
      <c r="CZ139" s="33">
        <v>57</v>
      </c>
      <c r="DA139" s="33">
        <f t="shared" ca="1" si="75"/>
        <v>337.26583333333332</v>
      </c>
      <c r="DB139" s="33">
        <f t="shared" si="76"/>
        <v>188.1897461223528</v>
      </c>
      <c r="DC139" s="33">
        <f t="shared" ca="1" si="77"/>
        <v>0</v>
      </c>
      <c r="DD139" s="29">
        <v>56</v>
      </c>
      <c r="DF139" s="60">
        <v>57</v>
      </c>
      <c r="DG139" s="60">
        <f t="shared" ca="1" si="78"/>
        <v>430.4577083333333</v>
      </c>
      <c r="DH139" s="60">
        <f t="shared" si="79"/>
        <v>325.07401074244967</v>
      </c>
      <c r="DI139" s="60">
        <f t="shared" ca="1" si="80"/>
        <v>0</v>
      </c>
      <c r="DJ139" s="51">
        <v>56</v>
      </c>
      <c r="DL139" s="60">
        <v>57</v>
      </c>
      <c r="DM139" s="60">
        <f t="shared" ca="1" si="81"/>
        <v>568.02666666666664</v>
      </c>
      <c r="DN139" s="60">
        <f t="shared" si="82"/>
        <v>689.60328496394391</v>
      </c>
      <c r="DO139" s="60">
        <f t="shared" ca="1" si="83"/>
        <v>121.57661829727726</v>
      </c>
      <c r="DP139" s="51">
        <v>56</v>
      </c>
      <c r="EG139" s="28"/>
      <c r="EH139" s="28">
        <v>30</v>
      </c>
      <c r="EI139" s="28">
        <v>88.9</v>
      </c>
      <c r="EJ139" s="28">
        <v>70.5</v>
      </c>
      <c r="EK139" s="28">
        <v>60.2</v>
      </c>
      <c r="EL139" s="28">
        <v>43.9</v>
      </c>
      <c r="EM139" s="28">
        <v>35.799999999999997</v>
      </c>
      <c r="EN139" s="28">
        <v>30.8</v>
      </c>
      <c r="EO139" s="28">
        <v>20.9</v>
      </c>
      <c r="EP139" s="28">
        <v>13.7</v>
      </c>
      <c r="EQ139" s="28">
        <v>9</v>
      </c>
    </row>
    <row r="140" spans="2:147">
      <c r="B140" s="9"/>
      <c r="C140" s="10"/>
      <c r="D140" s="10"/>
      <c r="E140" s="10"/>
      <c r="F140" s="11"/>
      <c r="G140" s="39"/>
      <c r="H140" s="37"/>
      <c r="I140" s="37"/>
      <c r="J140" s="37"/>
      <c r="K140" s="37"/>
      <c r="L140" s="37"/>
      <c r="M140" s="37"/>
      <c r="N140" s="37"/>
      <c r="O140" s="37"/>
      <c r="P140" s="37"/>
      <c r="Q140" s="37"/>
      <c r="R140" s="37"/>
      <c r="S140" s="37"/>
      <c r="T140" s="37"/>
      <c r="U140" s="41"/>
      <c r="V140" s="41"/>
      <c r="W140" s="41"/>
      <c r="X140" s="41"/>
      <c r="Y140" s="41"/>
      <c r="Z140" s="41"/>
      <c r="AA140" s="41"/>
      <c r="AB140" s="41"/>
      <c r="AC140" s="41"/>
      <c r="AD140" s="41"/>
      <c r="AE140" s="34"/>
      <c r="AF140" s="42"/>
      <c r="AG140" s="41"/>
      <c r="AH140" s="41"/>
      <c r="AI140" s="41"/>
      <c r="AJ140" s="43"/>
      <c r="CH140" s="33">
        <v>58</v>
      </c>
      <c r="CI140" s="33">
        <f t="shared" ca="1" si="84"/>
        <v>257.38708333333329</v>
      </c>
      <c r="CJ140" s="33">
        <f t="shared" si="85"/>
        <v>18.015690971651065</v>
      </c>
      <c r="CK140" s="33">
        <f t="shared" ca="1" si="68"/>
        <v>0</v>
      </c>
      <c r="CL140" s="29">
        <v>57</v>
      </c>
      <c r="CN140" s="33">
        <v>58</v>
      </c>
      <c r="CO140" s="33">
        <f t="shared" ca="1" si="69"/>
        <v>270.70020833333331</v>
      </c>
      <c r="CP140" s="33">
        <f t="shared" si="70"/>
        <v>47.102693553738654</v>
      </c>
      <c r="CQ140" s="33">
        <f t="shared" ca="1" si="71"/>
        <v>0</v>
      </c>
      <c r="CR140" s="29">
        <v>57</v>
      </c>
      <c r="CT140" s="33">
        <v>58</v>
      </c>
      <c r="CU140" s="33">
        <f t="shared" ca="1" si="72"/>
        <v>297.32645833333333</v>
      </c>
      <c r="CV140" s="33">
        <f t="shared" si="73"/>
        <v>93.689363428942599</v>
      </c>
      <c r="CW140" s="33">
        <f t="shared" ca="1" si="74"/>
        <v>0</v>
      </c>
      <c r="CX140" s="29">
        <v>57</v>
      </c>
      <c r="CZ140" s="33">
        <v>58</v>
      </c>
      <c r="DA140" s="33">
        <f t="shared" ca="1" si="75"/>
        <v>341.70354166666664</v>
      </c>
      <c r="DB140" s="33">
        <f t="shared" si="76"/>
        <v>188.40812362848229</v>
      </c>
      <c r="DC140" s="33">
        <f t="shared" ca="1" si="77"/>
        <v>0</v>
      </c>
      <c r="DD140" s="29">
        <v>57</v>
      </c>
      <c r="DF140" s="60">
        <v>58</v>
      </c>
      <c r="DG140" s="60">
        <f t="shared" ca="1" si="78"/>
        <v>434.89541666666662</v>
      </c>
      <c r="DH140" s="60">
        <f t="shared" si="79"/>
        <v>325.37830292882035</v>
      </c>
      <c r="DI140" s="60">
        <f t="shared" ca="1" si="80"/>
        <v>0</v>
      </c>
      <c r="DJ140" s="51">
        <v>57</v>
      </c>
      <c r="DL140" s="60">
        <v>58</v>
      </c>
      <c r="DM140" s="60">
        <f t="shared" ca="1" si="81"/>
        <v>572.46437500000002</v>
      </c>
      <c r="DN140" s="60">
        <f t="shared" si="82"/>
        <v>690.05208356942978</v>
      </c>
      <c r="DO140" s="60">
        <f t="shared" ca="1" si="83"/>
        <v>117.58770856942976</v>
      </c>
      <c r="DP140" s="51">
        <v>57</v>
      </c>
      <c r="EG140" s="28"/>
      <c r="EH140" s="28">
        <v>50</v>
      </c>
      <c r="EI140" s="28">
        <v>97.8</v>
      </c>
      <c r="EJ140" s="28">
        <v>78</v>
      </c>
      <c r="EK140" s="28">
        <v>67</v>
      </c>
      <c r="EL140" s="28">
        <v>49.1</v>
      </c>
      <c r="EM140" s="28">
        <v>40.200000000000003</v>
      </c>
      <c r="EN140" s="28">
        <v>34.6</v>
      </c>
      <c r="EO140" s="28">
        <v>23.4</v>
      </c>
      <c r="EP140" s="28">
        <v>15.3</v>
      </c>
      <c r="EQ140" s="28">
        <v>10</v>
      </c>
    </row>
    <row r="141" spans="2:147">
      <c r="B141" s="9"/>
      <c r="C141" s="10"/>
      <c r="D141" s="10"/>
      <c r="E141" s="10"/>
      <c r="F141" s="11"/>
      <c r="G141" s="39"/>
      <c r="H141" s="37"/>
      <c r="I141" s="37"/>
      <c r="J141" s="37"/>
      <c r="K141" s="37"/>
      <c r="L141" s="37"/>
      <c r="M141" s="37"/>
      <c r="N141" s="37"/>
      <c r="O141" s="37"/>
      <c r="P141" s="37"/>
      <c r="Q141" s="37"/>
      <c r="R141" s="37"/>
      <c r="S141" s="37"/>
      <c r="T141" s="37"/>
      <c r="U141" s="41"/>
      <c r="V141" s="41"/>
      <c r="W141" s="41"/>
      <c r="X141" s="41"/>
      <c r="Y141" s="41"/>
      <c r="Z141" s="41"/>
      <c r="AA141" s="41"/>
      <c r="AB141" s="41"/>
      <c r="AC141" s="41"/>
      <c r="AD141" s="41"/>
      <c r="AE141" s="34"/>
      <c r="AF141" s="42"/>
      <c r="AG141" s="41"/>
      <c r="AH141" s="41"/>
      <c r="AI141" s="41"/>
      <c r="AJ141" s="43"/>
      <c r="CH141" s="33">
        <v>59</v>
      </c>
      <c r="CI141" s="33">
        <f t="shared" ca="1" si="84"/>
        <v>261.82479166666667</v>
      </c>
      <c r="CJ141" s="33">
        <f t="shared" si="85"/>
        <v>18.066646850989059</v>
      </c>
      <c r="CK141" s="33">
        <f t="shared" ca="1" si="68"/>
        <v>0</v>
      </c>
      <c r="CL141" s="29">
        <v>58</v>
      </c>
      <c r="CN141" s="33">
        <v>59</v>
      </c>
      <c r="CO141" s="33">
        <f t="shared" ca="1" si="69"/>
        <v>275.13791666666668</v>
      </c>
      <c r="CP141" s="33">
        <f t="shared" si="70"/>
        <v>47.195658158974787</v>
      </c>
      <c r="CQ141" s="33">
        <f t="shared" ca="1" si="71"/>
        <v>0</v>
      </c>
      <c r="CR141" s="29">
        <v>58</v>
      </c>
      <c r="CT141" s="33">
        <v>59</v>
      </c>
      <c r="CU141" s="33">
        <f t="shared" ca="1" si="72"/>
        <v>301.76416666666665</v>
      </c>
      <c r="CV141" s="33">
        <f t="shared" si="73"/>
        <v>93.831361736447363</v>
      </c>
      <c r="CW141" s="33">
        <f t="shared" ca="1" si="74"/>
        <v>0</v>
      </c>
      <c r="CX141" s="29">
        <v>58</v>
      </c>
      <c r="CZ141" s="33">
        <v>59</v>
      </c>
      <c r="DA141" s="33">
        <f t="shared" ca="1" si="75"/>
        <v>346.14125000000001</v>
      </c>
      <c r="DB141" s="33">
        <f t="shared" si="76"/>
        <v>188.62650113461174</v>
      </c>
      <c r="DC141" s="33">
        <f t="shared" ca="1" si="77"/>
        <v>0</v>
      </c>
      <c r="DD141" s="29">
        <v>58</v>
      </c>
      <c r="DF141" s="60">
        <v>59</v>
      </c>
      <c r="DG141" s="60">
        <f t="shared" ca="1" si="78"/>
        <v>439.333125</v>
      </c>
      <c r="DH141" s="60">
        <f t="shared" si="79"/>
        <v>325.68259511519096</v>
      </c>
      <c r="DI141" s="60">
        <f t="shared" ca="1" si="80"/>
        <v>0</v>
      </c>
      <c r="DJ141" s="51">
        <v>58</v>
      </c>
      <c r="DL141" s="60">
        <v>59</v>
      </c>
      <c r="DM141" s="60">
        <f t="shared" ca="1" si="81"/>
        <v>576.90208333333328</v>
      </c>
      <c r="DN141" s="60">
        <f t="shared" si="82"/>
        <v>690.50088217491589</v>
      </c>
      <c r="DO141" s="60">
        <f t="shared" ca="1" si="83"/>
        <v>113.59879884158261</v>
      </c>
      <c r="DP141" s="51">
        <v>58</v>
      </c>
      <c r="EG141" s="28"/>
      <c r="EH141" s="28">
        <v>100</v>
      </c>
      <c r="EI141" s="28">
        <v>111.4</v>
      </c>
      <c r="EJ141" s="28">
        <v>89.6</v>
      </c>
      <c r="EK141" s="28">
        <v>77.400000000000006</v>
      </c>
      <c r="EL141" s="28">
        <v>57.2</v>
      </c>
      <c r="EM141" s="28">
        <v>47</v>
      </c>
      <c r="EN141" s="28">
        <v>40.5</v>
      </c>
      <c r="EO141" s="28">
        <v>27.3</v>
      </c>
      <c r="EP141" s="28">
        <v>17.600000000000001</v>
      </c>
      <c r="EQ141" s="28">
        <v>11</v>
      </c>
    </row>
    <row r="142" spans="2:147">
      <c r="B142" s="9"/>
      <c r="C142" s="10"/>
      <c r="D142" s="10"/>
      <c r="E142" s="10"/>
      <c r="F142" s="11"/>
      <c r="G142" s="39"/>
      <c r="H142" s="37"/>
      <c r="I142" s="37"/>
      <c r="J142" s="37"/>
      <c r="K142" s="37"/>
      <c r="L142" s="37"/>
      <c r="M142" s="37"/>
      <c r="N142" s="37"/>
      <c r="O142" s="37"/>
      <c r="P142" s="37"/>
      <c r="Q142" s="37"/>
      <c r="R142" s="37"/>
      <c r="S142" s="37"/>
      <c r="T142" s="37"/>
      <c r="U142" s="41"/>
      <c r="V142" s="41"/>
      <c r="W142" s="41"/>
      <c r="X142" s="41"/>
      <c r="Y142" s="41"/>
      <c r="Z142" s="41"/>
      <c r="AA142" s="41"/>
      <c r="AB142" s="41"/>
      <c r="AC142" s="41"/>
      <c r="AD142" s="41"/>
      <c r="AE142" s="34"/>
      <c r="AF142" s="42"/>
      <c r="AG142" s="41"/>
      <c r="AH142" s="41"/>
      <c r="AI142" s="41"/>
      <c r="AJ142" s="43"/>
      <c r="CH142" s="33">
        <v>60</v>
      </c>
      <c r="CI142" s="33">
        <f t="shared" ca="1" si="84"/>
        <v>266.26249999999999</v>
      </c>
      <c r="CJ142" s="33">
        <f t="shared" si="85"/>
        <v>18.117602730327054</v>
      </c>
      <c r="CK142" s="33">
        <f t="shared" ca="1" si="68"/>
        <v>0</v>
      </c>
      <c r="CL142" s="29">
        <v>59</v>
      </c>
      <c r="CN142" s="33">
        <v>60</v>
      </c>
      <c r="CO142" s="33">
        <f t="shared" ca="1" si="69"/>
        <v>279.575625</v>
      </c>
      <c r="CP142" s="33">
        <f t="shared" si="70"/>
        <v>47.28862276421092</v>
      </c>
      <c r="CQ142" s="33">
        <f t="shared" ca="1" si="71"/>
        <v>0</v>
      </c>
      <c r="CR142" s="29">
        <v>59</v>
      </c>
      <c r="CT142" s="33">
        <v>60</v>
      </c>
      <c r="CU142" s="33">
        <f t="shared" ca="1" si="72"/>
        <v>306.20187499999997</v>
      </c>
      <c r="CV142" s="33">
        <f t="shared" si="73"/>
        <v>93.973360043952141</v>
      </c>
      <c r="CW142" s="33">
        <f t="shared" ca="1" si="74"/>
        <v>0</v>
      </c>
      <c r="CX142" s="29">
        <v>59</v>
      </c>
      <c r="CZ142" s="33">
        <v>60</v>
      </c>
      <c r="DA142" s="33">
        <f t="shared" ca="1" si="75"/>
        <v>350.57895833333333</v>
      </c>
      <c r="DB142" s="33">
        <f t="shared" si="76"/>
        <v>188.84487864074114</v>
      </c>
      <c r="DC142" s="33">
        <f t="shared" ca="1" si="77"/>
        <v>0</v>
      </c>
      <c r="DD142" s="29">
        <v>59</v>
      </c>
      <c r="DF142" s="60">
        <v>60</v>
      </c>
      <c r="DG142" s="60">
        <f t="shared" ca="1" si="78"/>
        <v>443.77083333333331</v>
      </c>
      <c r="DH142" s="60">
        <f t="shared" si="79"/>
        <v>325.98688730156169</v>
      </c>
      <c r="DI142" s="60">
        <f t="shared" ca="1" si="80"/>
        <v>0</v>
      </c>
      <c r="DJ142" s="51">
        <v>59</v>
      </c>
      <c r="DL142" s="60">
        <v>60</v>
      </c>
      <c r="DM142" s="60">
        <f t="shared" ca="1" si="81"/>
        <v>581.33979166666666</v>
      </c>
      <c r="DN142" s="60">
        <f t="shared" si="82"/>
        <v>690.94968078040188</v>
      </c>
      <c r="DO142" s="60">
        <f t="shared" ca="1" si="83"/>
        <v>109.60988911373522</v>
      </c>
      <c r="DP142" s="51">
        <v>59</v>
      </c>
      <c r="EG142" s="28"/>
      <c r="EH142" s="28">
        <v>500</v>
      </c>
      <c r="EI142" s="28">
        <v>150.6</v>
      </c>
      <c r="EJ142" s="28">
        <v>123.6</v>
      </c>
      <c r="EK142" s="28">
        <v>108.5</v>
      </c>
      <c r="EL142" s="28">
        <v>81.599999999999994</v>
      </c>
      <c r="EM142" s="28">
        <v>67.5</v>
      </c>
      <c r="EN142" s="28">
        <v>58.4</v>
      </c>
      <c r="EO142" s="28">
        <v>39.1</v>
      </c>
      <c r="EP142" s="28">
        <v>24.7</v>
      </c>
      <c r="EQ142" s="28">
        <v>15</v>
      </c>
    </row>
    <row r="143" spans="2:147">
      <c r="B143" s="9"/>
      <c r="C143" s="10"/>
      <c r="D143" s="10"/>
      <c r="E143" s="10"/>
      <c r="F143" s="11"/>
      <c r="G143" s="39"/>
      <c r="H143" s="37"/>
      <c r="I143" s="37"/>
      <c r="J143" s="37"/>
      <c r="K143" s="37"/>
      <c r="L143" s="37"/>
      <c r="M143" s="37"/>
      <c r="N143" s="37"/>
      <c r="O143" s="37"/>
      <c r="P143" s="37"/>
      <c r="Q143" s="37"/>
      <c r="R143" s="37"/>
      <c r="S143" s="37"/>
      <c r="T143" s="37"/>
      <c r="U143" s="41"/>
      <c r="V143" s="41"/>
      <c r="W143" s="41"/>
      <c r="X143" s="41"/>
      <c r="Y143" s="41"/>
      <c r="Z143" s="41"/>
      <c r="AA143" s="41"/>
      <c r="AB143" s="41"/>
      <c r="AC143" s="41"/>
      <c r="AD143" s="41"/>
      <c r="AE143" s="34"/>
      <c r="AF143" s="42"/>
      <c r="AG143" s="41"/>
      <c r="AH143" s="41"/>
      <c r="AI143" s="41"/>
      <c r="AJ143" s="43"/>
      <c r="CH143" s="33">
        <v>61</v>
      </c>
      <c r="CI143" s="33">
        <f t="shared" ca="1" si="84"/>
        <v>270.70020833333331</v>
      </c>
      <c r="CJ143" s="33">
        <f t="shared" si="85"/>
        <v>18.168558609665041</v>
      </c>
      <c r="CK143" s="33">
        <f t="shared" ca="1" si="68"/>
        <v>0</v>
      </c>
      <c r="CL143" s="29">
        <v>60</v>
      </c>
      <c r="CN143" s="33">
        <v>61</v>
      </c>
      <c r="CO143" s="33">
        <f t="shared" ca="1" si="69"/>
        <v>284.01333333333332</v>
      </c>
      <c r="CP143" s="33">
        <f t="shared" si="70"/>
        <v>47.381587369447061</v>
      </c>
      <c r="CQ143" s="33">
        <f t="shared" ca="1" si="71"/>
        <v>0</v>
      </c>
      <c r="CR143" s="29">
        <v>60</v>
      </c>
      <c r="CT143" s="33">
        <v>61</v>
      </c>
      <c r="CU143" s="33">
        <f t="shared" ca="1" si="72"/>
        <v>310.63958333333335</v>
      </c>
      <c r="CV143" s="33">
        <f t="shared" si="73"/>
        <v>94.115358351456905</v>
      </c>
      <c r="CW143" s="33">
        <f t="shared" ca="1" si="74"/>
        <v>0</v>
      </c>
      <c r="CX143" s="29">
        <v>60</v>
      </c>
      <c r="CZ143" s="33">
        <v>61</v>
      </c>
      <c r="DA143" s="33">
        <f t="shared" ca="1" si="75"/>
        <v>355.01666666666665</v>
      </c>
      <c r="DB143" s="33">
        <f t="shared" si="76"/>
        <v>189.0632561468706</v>
      </c>
      <c r="DC143" s="33">
        <f t="shared" ca="1" si="77"/>
        <v>0</v>
      </c>
      <c r="DD143" s="29">
        <v>60</v>
      </c>
      <c r="DF143" s="60">
        <v>61</v>
      </c>
      <c r="DG143" s="60">
        <f t="shared" ca="1" si="78"/>
        <v>448.20854166666663</v>
      </c>
      <c r="DH143" s="60">
        <f t="shared" si="79"/>
        <v>326.29117948793231</v>
      </c>
      <c r="DI143" s="60">
        <f t="shared" ca="1" si="80"/>
        <v>0</v>
      </c>
      <c r="DJ143" s="51">
        <v>60</v>
      </c>
      <c r="DL143" s="60">
        <v>61</v>
      </c>
      <c r="DM143" s="60">
        <f t="shared" ca="1" si="81"/>
        <v>585.77749999999992</v>
      </c>
      <c r="DN143" s="60">
        <f t="shared" si="82"/>
        <v>691.39847938588775</v>
      </c>
      <c r="DO143" s="60">
        <f t="shared" ca="1" si="83"/>
        <v>105.62097938588784</v>
      </c>
      <c r="DP143" s="51">
        <v>60</v>
      </c>
      <c r="EG143" s="28"/>
      <c r="EH143" s="28">
        <v>1000</v>
      </c>
      <c r="EI143" s="28">
        <v>171.5</v>
      </c>
      <c r="EJ143" s="28">
        <v>141.9</v>
      </c>
      <c r="EK143" s="28">
        <v>125.4</v>
      </c>
      <c r="EL143" s="28">
        <v>95.1</v>
      </c>
      <c r="EM143" s="28">
        <v>78.900000000000006</v>
      </c>
      <c r="EN143" s="28">
        <v>68.400000000000006</v>
      </c>
      <c r="EO143" s="28">
        <v>45.7</v>
      </c>
      <c r="EP143" s="28">
        <v>28.5</v>
      </c>
      <c r="EQ143" s="28">
        <v>17</v>
      </c>
    </row>
    <row r="144" spans="2:147">
      <c r="B144" s="9"/>
      <c r="C144" s="10"/>
      <c r="D144" s="10"/>
      <c r="E144" s="10"/>
      <c r="F144" s="11"/>
      <c r="G144" s="39"/>
      <c r="H144" s="37"/>
      <c r="I144" s="37"/>
      <c r="J144" s="37"/>
      <c r="K144" s="37"/>
      <c r="L144" s="37"/>
      <c r="M144" s="37"/>
      <c r="N144" s="37"/>
      <c r="O144" s="37"/>
      <c r="P144" s="37"/>
      <c r="Q144" s="37"/>
      <c r="R144" s="37"/>
      <c r="S144" s="37"/>
      <c r="T144" s="37"/>
      <c r="U144" s="41"/>
      <c r="V144" s="41"/>
      <c r="W144" s="41"/>
      <c r="X144" s="41"/>
      <c r="Y144" s="41"/>
      <c r="Z144" s="41"/>
      <c r="AA144" s="41"/>
      <c r="AB144" s="41"/>
      <c r="AC144" s="41"/>
      <c r="AD144" s="41"/>
      <c r="AE144" s="34"/>
      <c r="AF144" s="42"/>
      <c r="AG144" s="41"/>
      <c r="AH144" s="41"/>
      <c r="AI144" s="41"/>
      <c r="AJ144" s="43"/>
      <c r="CH144" s="33">
        <v>62</v>
      </c>
      <c r="CI144" s="33">
        <f t="shared" ca="1" si="84"/>
        <v>275.13791666666668</v>
      </c>
      <c r="CJ144" s="33">
        <f t="shared" si="85"/>
        <v>18.219514489003036</v>
      </c>
      <c r="CK144" s="33">
        <f t="shared" ca="1" si="68"/>
        <v>0</v>
      </c>
      <c r="CL144" s="29">
        <v>61</v>
      </c>
      <c r="CN144" s="33">
        <v>62</v>
      </c>
      <c r="CO144" s="33">
        <f t="shared" ca="1" si="69"/>
        <v>288.45104166666664</v>
      </c>
      <c r="CP144" s="33">
        <f t="shared" si="70"/>
        <v>47.474551974683195</v>
      </c>
      <c r="CQ144" s="33">
        <f t="shared" ca="1" si="71"/>
        <v>0</v>
      </c>
      <c r="CR144" s="29">
        <v>61</v>
      </c>
      <c r="CT144" s="33">
        <v>62</v>
      </c>
      <c r="CU144" s="33">
        <f t="shared" ca="1" si="72"/>
        <v>315.07729166666667</v>
      </c>
      <c r="CV144" s="33">
        <f t="shared" si="73"/>
        <v>94.257356658961683</v>
      </c>
      <c r="CW144" s="33">
        <f t="shared" ca="1" si="74"/>
        <v>0</v>
      </c>
      <c r="CX144" s="29">
        <v>61</v>
      </c>
      <c r="CZ144" s="33">
        <v>62</v>
      </c>
      <c r="DA144" s="33">
        <f t="shared" ca="1" si="75"/>
        <v>359.45437499999997</v>
      </c>
      <c r="DB144" s="33">
        <f t="shared" si="76"/>
        <v>189.28163365300009</v>
      </c>
      <c r="DC144" s="33">
        <f t="shared" ca="1" si="77"/>
        <v>0</v>
      </c>
      <c r="DD144" s="29">
        <v>61</v>
      </c>
      <c r="DF144" s="60">
        <v>62</v>
      </c>
      <c r="DG144" s="60">
        <f t="shared" ca="1" si="78"/>
        <v>452.64625000000001</v>
      </c>
      <c r="DH144" s="60">
        <f t="shared" si="79"/>
        <v>326.59547167430293</v>
      </c>
      <c r="DI144" s="60">
        <f t="shared" ca="1" si="80"/>
        <v>0</v>
      </c>
      <c r="DJ144" s="51">
        <v>61</v>
      </c>
      <c r="DL144" s="60">
        <v>62</v>
      </c>
      <c r="DM144" s="60">
        <f t="shared" ca="1" si="81"/>
        <v>590.21520833333329</v>
      </c>
      <c r="DN144" s="60">
        <f t="shared" si="82"/>
        <v>691.84727799137374</v>
      </c>
      <c r="DO144" s="60">
        <f t="shared" ca="1" si="83"/>
        <v>101.63206965804045</v>
      </c>
      <c r="DP144" s="51">
        <v>61</v>
      </c>
    </row>
    <row r="145" spans="2:120">
      <c r="B145" s="9"/>
      <c r="C145" s="10"/>
      <c r="D145" s="10"/>
      <c r="E145" s="10"/>
      <c r="F145" s="11"/>
      <c r="G145" s="39"/>
      <c r="H145" s="37"/>
      <c r="I145" s="37"/>
      <c r="J145" s="37"/>
      <c r="K145" s="37"/>
      <c r="L145" s="37"/>
      <c r="M145" s="37"/>
      <c r="N145" s="37"/>
      <c r="O145" s="37"/>
      <c r="P145" s="37"/>
      <c r="Q145" s="37"/>
      <c r="R145" s="37"/>
      <c r="S145" s="37"/>
      <c r="T145" s="37"/>
      <c r="U145" s="41"/>
      <c r="V145" s="41"/>
      <c r="W145" s="41"/>
      <c r="X145" s="41"/>
      <c r="Y145" s="41"/>
      <c r="Z145" s="41"/>
      <c r="AA145" s="41"/>
      <c r="AB145" s="41"/>
      <c r="AC145" s="41"/>
      <c r="AD145" s="41"/>
      <c r="AE145" s="34"/>
      <c r="AF145" s="42"/>
      <c r="AG145" s="41"/>
      <c r="AH145" s="41"/>
      <c r="AI145" s="41"/>
      <c r="AJ145" s="43"/>
      <c r="CH145" s="33">
        <v>63</v>
      </c>
      <c r="CI145" s="33">
        <f t="shared" ca="1" si="84"/>
        <v>279.575625</v>
      </c>
      <c r="CJ145" s="33">
        <f t="shared" si="85"/>
        <v>18.270470368341027</v>
      </c>
      <c r="CK145" s="33">
        <f t="shared" ca="1" si="68"/>
        <v>0</v>
      </c>
      <c r="CL145" s="29">
        <v>62</v>
      </c>
      <c r="CN145" s="33">
        <v>63</v>
      </c>
      <c r="CO145" s="33">
        <f t="shared" ca="1" si="69"/>
        <v>292.88874999999996</v>
      </c>
      <c r="CP145" s="33">
        <f t="shared" si="70"/>
        <v>47.567516579919328</v>
      </c>
      <c r="CQ145" s="33">
        <f t="shared" ca="1" si="71"/>
        <v>0</v>
      </c>
      <c r="CR145" s="29">
        <v>62</v>
      </c>
      <c r="CT145" s="33">
        <v>63</v>
      </c>
      <c r="CU145" s="33">
        <f t="shared" ca="1" si="72"/>
        <v>319.51499999999999</v>
      </c>
      <c r="CV145" s="33">
        <f t="shared" si="73"/>
        <v>94.399354966466433</v>
      </c>
      <c r="CW145" s="33">
        <f t="shared" ca="1" si="74"/>
        <v>0</v>
      </c>
      <c r="CX145" s="29">
        <v>62</v>
      </c>
      <c r="CZ145" s="33">
        <v>63</v>
      </c>
      <c r="DA145" s="33">
        <f t="shared" ca="1" si="75"/>
        <v>363.89208333333329</v>
      </c>
      <c r="DB145" s="33">
        <f t="shared" si="76"/>
        <v>189.50001115912954</v>
      </c>
      <c r="DC145" s="33">
        <f t="shared" ca="1" si="77"/>
        <v>0</v>
      </c>
      <c r="DD145" s="29">
        <v>62</v>
      </c>
      <c r="DF145" s="60">
        <v>63</v>
      </c>
      <c r="DG145" s="60">
        <f t="shared" ca="1" si="78"/>
        <v>457.08395833333333</v>
      </c>
      <c r="DH145" s="60">
        <f t="shared" si="79"/>
        <v>326.89976386067354</v>
      </c>
      <c r="DI145" s="60">
        <f t="shared" ca="1" si="80"/>
        <v>0</v>
      </c>
      <c r="DJ145" s="51">
        <v>62</v>
      </c>
      <c r="DL145" s="60">
        <v>63</v>
      </c>
      <c r="DM145" s="60">
        <f t="shared" ca="1" si="81"/>
        <v>594.65291666666667</v>
      </c>
      <c r="DN145" s="60">
        <f t="shared" si="82"/>
        <v>692.29607659685962</v>
      </c>
      <c r="DO145" s="60">
        <f t="shared" ca="1" si="83"/>
        <v>97.643159930192951</v>
      </c>
      <c r="DP145" s="51">
        <v>62</v>
      </c>
    </row>
    <row r="146" spans="2:120">
      <c r="B146" s="9"/>
      <c r="C146" s="10"/>
      <c r="D146" s="10"/>
      <c r="E146" s="10"/>
      <c r="F146" s="11"/>
      <c r="G146" s="39"/>
      <c r="H146" s="37"/>
      <c r="I146" s="37"/>
      <c r="J146" s="37"/>
      <c r="K146" s="37"/>
      <c r="L146" s="37"/>
      <c r="M146" s="37"/>
      <c r="N146" s="37"/>
      <c r="O146" s="37"/>
      <c r="P146" s="37"/>
      <c r="Q146" s="37"/>
      <c r="R146" s="37"/>
      <c r="S146" s="37"/>
      <c r="T146" s="37"/>
      <c r="U146" s="41"/>
      <c r="V146" s="41"/>
      <c r="W146" s="41"/>
      <c r="X146" s="41"/>
      <c r="Y146" s="41"/>
      <c r="Z146" s="41"/>
      <c r="AA146" s="41"/>
      <c r="AB146" s="41"/>
      <c r="AC146" s="41"/>
      <c r="AD146" s="41"/>
      <c r="AE146" s="34"/>
      <c r="AF146" s="42"/>
      <c r="AG146" s="41"/>
      <c r="AH146" s="41"/>
      <c r="AI146" s="41"/>
      <c r="AJ146" s="43"/>
      <c r="CH146" s="33">
        <v>64</v>
      </c>
      <c r="CI146" s="33">
        <f t="shared" ca="1" si="84"/>
        <v>284.01333333333332</v>
      </c>
      <c r="CJ146" s="33">
        <f t="shared" si="85"/>
        <v>18.321426247679018</v>
      </c>
      <c r="CK146" s="33">
        <f t="shared" ca="1" si="68"/>
        <v>0</v>
      </c>
      <c r="CL146" s="29">
        <v>63</v>
      </c>
      <c r="CN146" s="33">
        <v>64</v>
      </c>
      <c r="CO146" s="33">
        <f t="shared" ca="1" si="69"/>
        <v>297.32645833333333</v>
      </c>
      <c r="CP146" s="33">
        <f t="shared" si="70"/>
        <v>47.660481185155462</v>
      </c>
      <c r="CQ146" s="33">
        <f t="shared" ca="1" si="71"/>
        <v>0</v>
      </c>
      <c r="CR146" s="29">
        <v>63</v>
      </c>
      <c r="CT146" s="33">
        <v>64</v>
      </c>
      <c r="CU146" s="33">
        <f t="shared" ca="1" si="72"/>
        <v>323.95270833333331</v>
      </c>
      <c r="CV146" s="33">
        <f t="shared" si="73"/>
        <v>94.541353273971211</v>
      </c>
      <c r="CW146" s="33">
        <f t="shared" ca="1" si="74"/>
        <v>0</v>
      </c>
      <c r="CX146" s="29">
        <v>63</v>
      </c>
      <c r="CZ146" s="33">
        <v>64</v>
      </c>
      <c r="DA146" s="33">
        <f t="shared" ca="1" si="75"/>
        <v>368.32979166666667</v>
      </c>
      <c r="DB146" s="33">
        <f t="shared" si="76"/>
        <v>189.718388665259</v>
      </c>
      <c r="DC146" s="33">
        <f t="shared" ca="1" si="77"/>
        <v>0</v>
      </c>
      <c r="DD146" s="29">
        <v>63</v>
      </c>
      <c r="DF146" s="60">
        <v>64</v>
      </c>
      <c r="DG146" s="60">
        <f t="shared" ca="1" si="78"/>
        <v>461.52166666666665</v>
      </c>
      <c r="DH146" s="60">
        <f t="shared" si="79"/>
        <v>327.20405604704416</v>
      </c>
      <c r="DI146" s="60">
        <f t="shared" ca="1" si="80"/>
        <v>0</v>
      </c>
      <c r="DJ146" s="51">
        <v>63</v>
      </c>
      <c r="DL146" s="60">
        <v>64</v>
      </c>
      <c r="DM146" s="60">
        <f t="shared" ca="1" si="81"/>
        <v>599.09062499999993</v>
      </c>
      <c r="DN146" s="60">
        <f t="shared" si="82"/>
        <v>692.74487520234572</v>
      </c>
      <c r="DO146" s="60">
        <f t="shared" ca="1" si="83"/>
        <v>93.654250202345793</v>
      </c>
      <c r="DP146" s="51">
        <v>63</v>
      </c>
    </row>
    <row r="147" spans="2:120">
      <c r="B147" s="9"/>
      <c r="C147" s="10"/>
      <c r="D147" s="10"/>
      <c r="E147" s="10"/>
      <c r="F147" s="11"/>
      <c r="G147" s="39"/>
      <c r="H147" s="37"/>
      <c r="I147" s="37"/>
      <c r="J147" s="37"/>
      <c r="K147" s="37"/>
      <c r="L147" s="37"/>
      <c r="M147" s="37"/>
      <c r="N147" s="37"/>
      <c r="O147" s="37"/>
      <c r="P147" s="37"/>
      <c r="Q147" s="37"/>
      <c r="R147" s="37"/>
      <c r="S147" s="37"/>
      <c r="T147" s="37"/>
      <c r="U147" s="41"/>
      <c r="V147" s="41"/>
      <c r="W147" s="41"/>
      <c r="X147" s="41"/>
      <c r="Y147" s="41"/>
      <c r="Z147" s="41"/>
      <c r="AA147" s="41"/>
      <c r="AB147" s="41"/>
      <c r="AC147" s="41"/>
      <c r="AD147" s="41"/>
      <c r="AE147" s="34"/>
      <c r="AF147" s="42"/>
      <c r="AG147" s="41"/>
      <c r="AH147" s="41"/>
      <c r="AI147" s="41"/>
      <c r="AJ147" s="43"/>
      <c r="CH147" s="33">
        <v>65</v>
      </c>
      <c r="CI147" s="33">
        <f t="shared" ref="CI147:CI178" ca="1" si="86">$CJ$27*CH147</f>
        <v>288.45104166666664</v>
      </c>
      <c r="CJ147" s="33">
        <f t="shared" ref="CJ147:CJ182" si="87">(2.66*$CJ$31^1.25)*((6.74*($CJ$22/100)^0.7)+0.4+(CH147/$CJ$30)*$CJ$23)*1000</f>
        <v>18.372382127017012</v>
      </c>
      <c r="CK147" s="33">
        <f t="shared" ca="1" si="68"/>
        <v>0</v>
      </c>
      <c r="CL147" s="29">
        <v>64</v>
      </c>
      <c r="CN147" s="33">
        <v>65</v>
      </c>
      <c r="CO147" s="33">
        <f t="shared" ca="1" si="69"/>
        <v>301.76416666666665</v>
      </c>
      <c r="CP147" s="33">
        <f t="shared" si="70"/>
        <v>47.753445790391595</v>
      </c>
      <c r="CQ147" s="33">
        <f t="shared" ca="1" si="71"/>
        <v>0</v>
      </c>
      <c r="CR147" s="29">
        <v>64</v>
      </c>
      <c r="CT147" s="33">
        <v>65</v>
      </c>
      <c r="CU147" s="33">
        <f t="shared" ca="1" si="72"/>
        <v>328.39041666666662</v>
      </c>
      <c r="CV147" s="33">
        <f t="shared" si="73"/>
        <v>94.683351581475989</v>
      </c>
      <c r="CW147" s="33">
        <f t="shared" ca="1" si="74"/>
        <v>0</v>
      </c>
      <c r="CX147" s="29">
        <v>64</v>
      </c>
      <c r="CZ147" s="33">
        <v>65</v>
      </c>
      <c r="DA147" s="33">
        <f t="shared" ca="1" si="75"/>
        <v>372.76749999999998</v>
      </c>
      <c r="DB147" s="33">
        <f t="shared" si="76"/>
        <v>189.93676617138843</v>
      </c>
      <c r="DC147" s="33">
        <f t="shared" ca="1" si="77"/>
        <v>0</v>
      </c>
      <c r="DD147" s="29">
        <v>64</v>
      </c>
      <c r="DF147" s="60">
        <v>65</v>
      </c>
      <c r="DG147" s="60">
        <f t="shared" ca="1" si="78"/>
        <v>465.95937499999997</v>
      </c>
      <c r="DH147" s="60">
        <f t="shared" si="79"/>
        <v>327.50834823341484</v>
      </c>
      <c r="DI147" s="60">
        <f t="shared" ca="1" si="80"/>
        <v>0</v>
      </c>
      <c r="DJ147" s="51">
        <v>64</v>
      </c>
      <c r="DL147" s="60">
        <v>65</v>
      </c>
      <c r="DM147" s="60">
        <f t="shared" ca="1" si="81"/>
        <v>603.52833333333331</v>
      </c>
      <c r="DN147" s="60">
        <f t="shared" si="82"/>
        <v>693.19367380783171</v>
      </c>
      <c r="DO147" s="60">
        <f t="shared" ca="1" si="83"/>
        <v>89.665340474498407</v>
      </c>
      <c r="DP147" s="51">
        <v>64</v>
      </c>
    </row>
    <row r="148" spans="2:120">
      <c r="B148" s="9"/>
      <c r="C148" s="10"/>
      <c r="D148" s="10"/>
      <c r="E148" s="10"/>
      <c r="F148" s="11"/>
      <c r="G148" s="39"/>
      <c r="H148" s="37"/>
      <c r="I148" s="37"/>
      <c r="J148" s="37"/>
      <c r="K148" s="37"/>
      <c r="L148" s="37"/>
      <c r="M148" s="37"/>
      <c r="N148" s="37"/>
      <c r="O148" s="37"/>
      <c r="P148" s="37"/>
      <c r="Q148" s="37"/>
      <c r="R148" s="37"/>
      <c r="S148" s="37"/>
      <c r="T148" s="37"/>
      <c r="U148" s="41"/>
      <c r="V148" s="41"/>
      <c r="W148" s="41"/>
      <c r="X148" s="41"/>
      <c r="Y148" s="41"/>
      <c r="Z148" s="41"/>
      <c r="AA148" s="41"/>
      <c r="AB148" s="41"/>
      <c r="AC148" s="41"/>
      <c r="AD148" s="41"/>
      <c r="AE148" s="34"/>
      <c r="AF148" s="42"/>
      <c r="AG148" s="41"/>
      <c r="AH148" s="41"/>
      <c r="AI148" s="41"/>
      <c r="AJ148" s="43"/>
      <c r="CH148" s="33">
        <v>66</v>
      </c>
      <c r="CI148" s="33">
        <f t="shared" ca="1" si="86"/>
        <v>292.88874999999996</v>
      </c>
      <c r="CJ148" s="33">
        <f t="shared" si="87"/>
        <v>18.423338006355003</v>
      </c>
      <c r="CK148" s="33">
        <f t="shared" ref="CK148:CK182" ca="1" si="88">MAX(0,CJ148-CI148)</f>
        <v>0</v>
      </c>
      <c r="CL148" s="29">
        <v>65</v>
      </c>
      <c r="CN148" s="33">
        <v>66</v>
      </c>
      <c r="CO148" s="33">
        <f t="shared" ref="CO148:CO182" ca="1" si="89">$CJ$27*(CN148+$CJ$82)</f>
        <v>306.20187499999997</v>
      </c>
      <c r="CP148" s="33">
        <f t="shared" ref="CP148:CP182" si="90">(2.66*$CJ$39^1.25)*((6.74*($CJ$22/100)^0.7)+0.4+(CN148/$CJ$38)*$CJ$23)*1000</f>
        <v>47.846410395627728</v>
      </c>
      <c r="CQ148" s="33">
        <f t="shared" ref="CQ148:CQ182" ca="1" si="91">MAX(0,CP148-CO148)</f>
        <v>0</v>
      </c>
      <c r="CR148" s="29">
        <v>65</v>
      </c>
      <c r="CT148" s="33">
        <v>66</v>
      </c>
      <c r="CU148" s="33">
        <f t="shared" ref="CU148:CU182" ca="1" si="92">$CJ$27*(CT148+$CP$82+$CJ$82)</f>
        <v>332.828125</v>
      </c>
      <c r="CV148" s="33">
        <f t="shared" ref="CV148:CV182" si="93">(2.66*$CJ$48^1.25)*((6.74*($CJ$22/100)^0.7)+0.4+(CT148/$CJ$47)*$CJ$23)*1000</f>
        <v>94.825349888980753</v>
      </c>
      <c r="CW148" s="33">
        <f t="shared" ref="CW148:CW182" ca="1" si="94">MAX(0,CV148-CU148)</f>
        <v>0</v>
      </c>
      <c r="CX148" s="29">
        <v>65</v>
      </c>
      <c r="CZ148" s="33">
        <v>66</v>
      </c>
      <c r="DA148" s="33">
        <f t="shared" ref="DA148:DA182" ca="1" si="95">$CJ$27*(CZ148+$CP$82+$CV$82+$CJ$82)</f>
        <v>377.2052083333333</v>
      </c>
      <c r="DB148" s="33">
        <f t="shared" ref="DB148:DB182" si="96">(2.66*$CJ$57^1.25)*((6.74*($CJ$22/100)^0.7)+0.4+(CZ148/$CJ$56)*$CJ$23)*1000</f>
        <v>190.15514367751791</v>
      </c>
      <c r="DC148" s="33">
        <f t="shared" ref="DC148:DC182" ca="1" si="97">MAX(0,DB148-DA148)</f>
        <v>0</v>
      </c>
      <c r="DD148" s="29">
        <v>65</v>
      </c>
      <c r="DF148" s="60">
        <v>66</v>
      </c>
      <c r="DG148" s="60">
        <f t="shared" ref="DG148:DG182" ca="1" si="98">$CJ$27*(DF148+$CP$82+$CV$82+$CJ$82+$DB$82)</f>
        <v>470.39708333333328</v>
      </c>
      <c r="DH148" s="60">
        <f t="shared" ref="DH148:DH182" si="99">(2.66*$CJ$66^1.25)*((6.74*($CJ$22/100)^0.7)+0.4+(DF148/$CJ$65)*$CJ$23)*1000</f>
        <v>327.81264041978545</v>
      </c>
      <c r="DI148" s="60">
        <f t="shared" ref="DI148:DI182" ca="1" si="100">MAX(0,DH148-DG148)</f>
        <v>0</v>
      </c>
      <c r="DJ148" s="51">
        <v>65</v>
      </c>
      <c r="DL148" s="60">
        <v>66</v>
      </c>
      <c r="DM148" s="60">
        <f t="shared" ref="DM148:DM182" ca="1" si="101">$CJ$27*(DL148+$CP$82+$CV$82+$CJ$82+$DB$82+$DH$82)</f>
        <v>607.96604166666668</v>
      </c>
      <c r="DN148" s="60">
        <f t="shared" ref="DN148:DN182" si="102">(2.66*$CJ$75^1.25)*((6.74*($CJ$22/100)^0.7)+0.4+(DL148/$CJ$74)*$CJ$23)*1000</f>
        <v>693.64247241331759</v>
      </c>
      <c r="DO148" s="60">
        <f t="shared" ref="DO148:DO182" ca="1" si="103">MAX(0,DN148-DM148)</f>
        <v>85.676430746650908</v>
      </c>
      <c r="DP148" s="51">
        <v>65</v>
      </c>
    </row>
    <row r="149" spans="2:120">
      <c r="B149" s="9"/>
      <c r="C149" s="10"/>
      <c r="D149" s="10"/>
      <c r="E149" s="10"/>
      <c r="F149" s="11"/>
      <c r="G149" s="39"/>
      <c r="H149" s="37"/>
      <c r="I149" s="37"/>
      <c r="J149" s="37"/>
      <c r="K149" s="37"/>
      <c r="L149" s="37"/>
      <c r="M149" s="37"/>
      <c r="N149" s="37"/>
      <c r="O149" s="37"/>
      <c r="P149" s="37"/>
      <c r="Q149" s="37"/>
      <c r="R149" s="37"/>
      <c r="S149" s="37"/>
      <c r="T149" s="37"/>
      <c r="U149" s="41"/>
      <c r="V149" s="41"/>
      <c r="W149" s="41"/>
      <c r="X149" s="41"/>
      <c r="Y149" s="41"/>
      <c r="Z149" s="41"/>
      <c r="AA149" s="41"/>
      <c r="AB149" s="41"/>
      <c r="AC149" s="41"/>
      <c r="AD149" s="41"/>
      <c r="AE149" s="34"/>
      <c r="AF149" s="42"/>
      <c r="AG149" s="41"/>
      <c r="AH149" s="41"/>
      <c r="AI149" s="41"/>
      <c r="AJ149" s="43"/>
      <c r="CH149" s="33">
        <v>67</v>
      </c>
      <c r="CI149" s="33">
        <f t="shared" ca="1" si="86"/>
        <v>297.32645833333333</v>
      </c>
      <c r="CJ149" s="33">
        <f t="shared" si="87"/>
        <v>18.474293885692997</v>
      </c>
      <c r="CK149" s="33">
        <f t="shared" ca="1" si="88"/>
        <v>0</v>
      </c>
      <c r="CL149" s="29">
        <v>66</v>
      </c>
      <c r="CN149" s="33">
        <v>67</v>
      </c>
      <c r="CO149" s="33">
        <f t="shared" ca="1" si="89"/>
        <v>310.63958333333335</v>
      </c>
      <c r="CP149" s="33">
        <f t="shared" si="90"/>
        <v>47.939375000863862</v>
      </c>
      <c r="CQ149" s="33">
        <f t="shared" ca="1" si="91"/>
        <v>0</v>
      </c>
      <c r="CR149" s="29">
        <v>66</v>
      </c>
      <c r="CT149" s="33">
        <v>67</v>
      </c>
      <c r="CU149" s="33">
        <f t="shared" ca="1" si="92"/>
        <v>337.26583333333332</v>
      </c>
      <c r="CV149" s="33">
        <f t="shared" si="93"/>
        <v>94.967348196485517</v>
      </c>
      <c r="CW149" s="33">
        <f t="shared" ca="1" si="94"/>
        <v>0</v>
      </c>
      <c r="CX149" s="29">
        <v>66</v>
      </c>
      <c r="CZ149" s="33">
        <v>67</v>
      </c>
      <c r="DA149" s="33">
        <f t="shared" ca="1" si="95"/>
        <v>381.64291666666668</v>
      </c>
      <c r="DB149" s="33">
        <f t="shared" si="96"/>
        <v>190.37352118364734</v>
      </c>
      <c r="DC149" s="33">
        <f t="shared" ca="1" si="97"/>
        <v>0</v>
      </c>
      <c r="DD149" s="29">
        <v>66</v>
      </c>
      <c r="DF149" s="60">
        <v>67</v>
      </c>
      <c r="DG149" s="60">
        <f t="shared" ca="1" si="98"/>
        <v>474.83479166666666</v>
      </c>
      <c r="DH149" s="60">
        <f t="shared" si="99"/>
        <v>328.11693260615613</v>
      </c>
      <c r="DI149" s="60">
        <f t="shared" ca="1" si="100"/>
        <v>0</v>
      </c>
      <c r="DJ149" s="51">
        <v>66</v>
      </c>
      <c r="DL149" s="60">
        <v>67</v>
      </c>
      <c r="DM149" s="60">
        <f t="shared" ca="1" si="101"/>
        <v>612.40374999999995</v>
      </c>
      <c r="DN149" s="60">
        <f t="shared" si="102"/>
        <v>694.09127101880358</v>
      </c>
      <c r="DO149" s="60">
        <f t="shared" ca="1" si="103"/>
        <v>81.687521018803636</v>
      </c>
      <c r="DP149" s="51">
        <v>66</v>
      </c>
    </row>
    <row r="150" spans="2:120">
      <c r="B150" s="9"/>
      <c r="C150" s="10"/>
      <c r="D150" s="10"/>
      <c r="E150" s="10"/>
      <c r="F150" s="11"/>
      <c r="G150" s="39"/>
      <c r="H150" s="37"/>
      <c r="I150" s="37"/>
      <c r="J150" s="37"/>
      <c r="K150" s="37"/>
      <c r="L150" s="37"/>
      <c r="M150" s="37"/>
      <c r="N150" s="37"/>
      <c r="O150" s="37"/>
      <c r="P150" s="37"/>
      <c r="Q150" s="37"/>
      <c r="R150" s="37"/>
      <c r="S150" s="37"/>
      <c r="T150" s="37"/>
      <c r="U150" s="41"/>
      <c r="V150" s="41"/>
      <c r="W150" s="41"/>
      <c r="X150" s="41"/>
      <c r="Y150" s="41"/>
      <c r="Z150" s="41"/>
      <c r="AA150" s="41"/>
      <c r="AB150" s="41"/>
      <c r="AC150" s="41"/>
      <c r="AD150" s="41"/>
      <c r="AE150" s="34"/>
      <c r="AF150" s="42"/>
      <c r="AG150" s="41"/>
      <c r="AH150" s="41"/>
      <c r="AI150" s="41"/>
      <c r="AJ150" s="43"/>
      <c r="CH150" s="33">
        <v>68</v>
      </c>
      <c r="CI150" s="33">
        <f t="shared" ca="1" si="86"/>
        <v>301.76416666666665</v>
      </c>
      <c r="CJ150" s="33">
        <f t="shared" si="87"/>
        <v>18.525249765030988</v>
      </c>
      <c r="CK150" s="33">
        <f t="shared" ca="1" si="88"/>
        <v>0</v>
      </c>
      <c r="CL150" s="29">
        <v>67</v>
      </c>
      <c r="CN150" s="33">
        <v>68</v>
      </c>
      <c r="CO150" s="33">
        <f t="shared" ca="1" si="89"/>
        <v>315.07729166666667</v>
      </c>
      <c r="CP150" s="33">
        <f t="shared" si="90"/>
        <v>48.032339606099995</v>
      </c>
      <c r="CQ150" s="33">
        <f t="shared" ca="1" si="91"/>
        <v>0</v>
      </c>
      <c r="CR150" s="29">
        <v>67</v>
      </c>
      <c r="CT150" s="33">
        <v>68</v>
      </c>
      <c r="CU150" s="33">
        <f t="shared" ca="1" si="92"/>
        <v>341.70354166666664</v>
      </c>
      <c r="CV150" s="33">
        <f t="shared" si="93"/>
        <v>95.109346503990295</v>
      </c>
      <c r="CW150" s="33">
        <f t="shared" ca="1" si="94"/>
        <v>0</v>
      </c>
      <c r="CX150" s="29">
        <v>67</v>
      </c>
      <c r="CZ150" s="33">
        <v>68</v>
      </c>
      <c r="DA150" s="33">
        <f t="shared" ca="1" si="95"/>
        <v>386.080625</v>
      </c>
      <c r="DB150" s="33">
        <f t="shared" si="96"/>
        <v>190.5918986897768</v>
      </c>
      <c r="DC150" s="33">
        <f t="shared" ca="1" si="97"/>
        <v>0</v>
      </c>
      <c r="DD150" s="29">
        <v>67</v>
      </c>
      <c r="DF150" s="60">
        <v>68</v>
      </c>
      <c r="DG150" s="60">
        <f t="shared" ca="1" si="98"/>
        <v>479.27249999999998</v>
      </c>
      <c r="DH150" s="60">
        <f t="shared" si="99"/>
        <v>328.4212247925268</v>
      </c>
      <c r="DI150" s="60">
        <f t="shared" ca="1" si="100"/>
        <v>0</v>
      </c>
      <c r="DJ150" s="51">
        <v>67</v>
      </c>
      <c r="DL150" s="60">
        <v>68</v>
      </c>
      <c r="DM150" s="60">
        <f t="shared" ca="1" si="101"/>
        <v>616.84145833333332</v>
      </c>
      <c r="DN150" s="60">
        <f t="shared" si="102"/>
        <v>694.54006962428957</v>
      </c>
      <c r="DO150" s="60">
        <f t="shared" ca="1" si="103"/>
        <v>77.698611290956251</v>
      </c>
      <c r="DP150" s="51">
        <v>67</v>
      </c>
    </row>
    <row r="151" spans="2:120">
      <c r="B151" s="9"/>
      <c r="C151" s="10"/>
      <c r="D151" s="10"/>
      <c r="E151" s="10"/>
      <c r="F151" s="11"/>
      <c r="G151" s="39"/>
      <c r="H151" s="37"/>
      <c r="I151" s="37"/>
      <c r="J151" s="37"/>
      <c r="K151" s="37"/>
      <c r="L151" s="37"/>
      <c r="M151" s="37"/>
      <c r="N151" s="37"/>
      <c r="O151" s="37"/>
      <c r="P151" s="37"/>
      <c r="Q151" s="37"/>
      <c r="R151" s="37"/>
      <c r="S151" s="37"/>
      <c r="T151" s="37"/>
      <c r="U151" s="41"/>
      <c r="V151" s="41"/>
      <c r="W151" s="41"/>
      <c r="X151" s="41"/>
      <c r="Y151" s="41"/>
      <c r="Z151" s="41"/>
      <c r="AA151" s="41"/>
      <c r="AB151" s="41"/>
      <c r="AC151" s="41"/>
      <c r="AD151" s="41"/>
      <c r="AE151" s="34"/>
      <c r="AF151" s="42"/>
      <c r="AG151" s="41"/>
      <c r="AH151" s="41"/>
      <c r="AI151" s="41"/>
      <c r="AJ151" s="43"/>
      <c r="CH151" s="33">
        <v>69</v>
      </c>
      <c r="CI151" s="33">
        <f t="shared" ca="1" si="86"/>
        <v>306.20187499999997</v>
      </c>
      <c r="CJ151" s="33">
        <f t="shared" si="87"/>
        <v>18.576205644368979</v>
      </c>
      <c r="CK151" s="33">
        <f t="shared" ca="1" si="88"/>
        <v>0</v>
      </c>
      <c r="CL151" s="29">
        <v>68</v>
      </c>
      <c r="CN151" s="33">
        <v>69</v>
      </c>
      <c r="CO151" s="33">
        <f t="shared" ca="1" si="89"/>
        <v>319.51499999999999</v>
      </c>
      <c r="CP151" s="33">
        <f t="shared" si="90"/>
        <v>48.125304211336136</v>
      </c>
      <c r="CQ151" s="33">
        <f t="shared" ca="1" si="91"/>
        <v>0</v>
      </c>
      <c r="CR151" s="29">
        <v>68</v>
      </c>
      <c r="CT151" s="33">
        <v>69</v>
      </c>
      <c r="CU151" s="33">
        <f t="shared" ca="1" si="92"/>
        <v>346.14125000000001</v>
      </c>
      <c r="CV151" s="33">
        <f t="shared" si="93"/>
        <v>95.251344811495059</v>
      </c>
      <c r="CW151" s="33">
        <f t="shared" ca="1" si="94"/>
        <v>0</v>
      </c>
      <c r="CX151" s="29">
        <v>68</v>
      </c>
      <c r="CZ151" s="33">
        <v>69</v>
      </c>
      <c r="DA151" s="33">
        <f t="shared" ca="1" si="95"/>
        <v>390.51833333333332</v>
      </c>
      <c r="DB151" s="33">
        <f t="shared" si="96"/>
        <v>190.81027619590625</v>
      </c>
      <c r="DC151" s="33">
        <f t="shared" ca="1" si="97"/>
        <v>0</v>
      </c>
      <c r="DD151" s="29">
        <v>68</v>
      </c>
      <c r="DF151" s="60">
        <v>69</v>
      </c>
      <c r="DG151" s="60">
        <f t="shared" ca="1" si="98"/>
        <v>483.7102083333333</v>
      </c>
      <c r="DH151" s="60">
        <f t="shared" si="99"/>
        <v>328.72551697889742</v>
      </c>
      <c r="DI151" s="60">
        <f t="shared" ca="1" si="100"/>
        <v>0</v>
      </c>
      <c r="DJ151" s="51">
        <v>68</v>
      </c>
      <c r="DL151" s="60">
        <v>69</v>
      </c>
      <c r="DM151" s="60">
        <f t="shared" ca="1" si="101"/>
        <v>621.2791666666667</v>
      </c>
      <c r="DN151" s="60">
        <f t="shared" si="102"/>
        <v>694.98886822977556</v>
      </c>
      <c r="DO151" s="60">
        <f t="shared" ca="1" si="103"/>
        <v>73.709701563108865</v>
      </c>
      <c r="DP151" s="51">
        <v>68</v>
      </c>
    </row>
    <row r="152" spans="2:120">
      <c r="B152" s="9"/>
      <c r="C152" s="10"/>
      <c r="D152" s="10"/>
      <c r="E152" s="10"/>
      <c r="F152" s="11"/>
      <c r="G152" s="39"/>
      <c r="H152" s="37"/>
      <c r="I152" s="37"/>
      <c r="J152" s="37"/>
      <c r="K152" s="37"/>
      <c r="L152" s="37"/>
      <c r="M152" s="37"/>
      <c r="N152" s="37"/>
      <c r="O152" s="37"/>
      <c r="P152" s="37"/>
      <c r="Q152" s="37"/>
      <c r="R152" s="37"/>
      <c r="S152" s="37"/>
      <c r="T152" s="37"/>
      <c r="U152" s="41"/>
      <c r="V152" s="41"/>
      <c r="W152" s="41"/>
      <c r="X152" s="41"/>
      <c r="Y152" s="41"/>
      <c r="Z152" s="41"/>
      <c r="AA152" s="41"/>
      <c r="AB152" s="41"/>
      <c r="AC152" s="41"/>
      <c r="AD152" s="41"/>
      <c r="AE152" s="34"/>
      <c r="AF152" s="42"/>
      <c r="AG152" s="41"/>
      <c r="AH152" s="41"/>
      <c r="AI152" s="41"/>
      <c r="AJ152" s="43"/>
      <c r="CH152" s="33">
        <v>70</v>
      </c>
      <c r="CI152" s="33">
        <f t="shared" ca="1" si="86"/>
        <v>310.63958333333335</v>
      </c>
      <c r="CJ152" s="33">
        <f t="shared" si="87"/>
        <v>18.627161523706974</v>
      </c>
      <c r="CK152" s="33">
        <f t="shared" ca="1" si="88"/>
        <v>0</v>
      </c>
      <c r="CL152" s="29">
        <v>69</v>
      </c>
      <c r="CN152" s="33">
        <v>70</v>
      </c>
      <c r="CO152" s="33">
        <f t="shared" ca="1" si="89"/>
        <v>323.95270833333331</v>
      </c>
      <c r="CP152" s="33">
        <f t="shared" si="90"/>
        <v>48.218268816572269</v>
      </c>
      <c r="CQ152" s="33">
        <f t="shared" ca="1" si="91"/>
        <v>0</v>
      </c>
      <c r="CR152" s="29">
        <v>69</v>
      </c>
      <c r="CT152" s="33">
        <v>70</v>
      </c>
      <c r="CU152" s="33">
        <f t="shared" ca="1" si="92"/>
        <v>350.57895833333333</v>
      </c>
      <c r="CV152" s="33">
        <f t="shared" si="93"/>
        <v>95.393343118999823</v>
      </c>
      <c r="CW152" s="33">
        <f t="shared" ca="1" si="94"/>
        <v>0</v>
      </c>
      <c r="CX152" s="29">
        <v>69</v>
      </c>
      <c r="CZ152" s="33">
        <v>70</v>
      </c>
      <c r="DA152" s="33">
        <f t="shared" ca="1" si="95"/>
        <v>394.95604166666664</v>
      </c>
      <c r="DB152" s="33">
        <f t="shared" si="96"/>
        <v>191.02865370203571</v>
      </c>
      <c r="DC152" s="33">
        <f t="shared" ca="1" si="97"/>
        <v>0</v>
      </c>
      <c r="DD152" s="29">
        <v>69</v>
      </c>
      <c r="DF152" s="60">
        <v>70</v>
      </c>
      <c r="DG152" s="60">
        <f t="shared" ca="1" si="98"/>
        <v>488.14791666666667</v>
      </c>
      <c r="DH152" s="60">
        <f t="shared" si="99"/>
        <v>329.02980916526809</v>
      </c>
      <c r="DI152" s="60">
        <f t="shared" ca="1" si="100"/>
        <v>0</v>
      </c>
      <c r="DJ152" s="51">
        <v>69</v>
      </c>
      <c r="DL152" s="60">
        <v>70</v>
      </c>
      <c r="DM152" s="60">
        <f t="shared" ca="1" si="101"/>
        <v>625.71687499999996</v>
      </c>
      <c r="DN152" s="60">
        <f t="shared" si="102"/>
        <v>695.43766683526155</v>
      </c>
      <c r="DO152" s="60">
        <f t="shared" ca="1" si="103"/>
        <v>69.720791835261593</v>
      </c>
      <c r="DP152" s="51">
        <v>69</v>
      </c>
    </row>
    <row r="153" spans="2:120">
      <c r="B153" s="9"/>
      <c r="C153" s="10"/>
      <c r="D153" s="10"/>
      <c r="E153" s="10"/>
      <c r="F153" s="11"/>
      <c r="G153" s="39"/>
      <c r="H153" s="37"/>
      <c r="I153" s="37"/>
      <c r="J153" s="37"/>
      <c r="K153" s="37"/>
      <c r="L153" s="37"/>
      <c r="M153" s="37"/>
      <c r="N153" s="37"/>
      <c r="O153" s="37"/>
      <c r="P153" s="37"/>
      <c r="Q153" s="37"/>
      <c r="R153" s="37"/>
      <c r="S153" s="37"/>
      <c r="T153" s="37"/>
      <c r="U153" s="41"/>
      <c r="V153" s="41"/>
      <c r="W153" s="41"/>
      <c r="X153" s="41"/>
      <c r="Y153" s="41"/>
      <c r="Z153" s="41"/>
      <c r="AA153" s="41"/>
      <c r="AB153" s="41"/>
      <c r="AC153" s="41"/>
      <c r="AD153" s="41"/>
      <c r="AE153" s="34"/>
      <c r="AF153" s="42"/>
      <c r="AG153" s="41"/>
      <c r="AH153" s="41"/>
      <c r="AI153" s="41"/>
      <c r="AJ153" s="43"/>
      <c r="CH153" s="33">
        <v>71</v>
      </c>
      <c r="CI153" s="33">
        <f t="shared" ca="1" si="86"/>
        <v>315.07729166666667</v>
      </c>
      <c r="CJ153" s="33">
        <f t="shared" si="87"/>
        <v>18.678117403044965</v>
      </c>
      <c r="CK153" s="33">
        <f t="shared" ca="1" si="88"/>
        <v>0</v>
      </c>
      <c r="CL153" s="29">
        <v>70</v>
      </c>
      <c r="CN153" s="33">
        <v>71</v>
      </c>
      <c r="CO153" s="33">
        <f t="shared" ca="1" si="89"/>
        <v>328.39041666666662</v>
      </c>
      <c r="CP153" s="33">
        <f t="shared" si="90"/>
        <v>48.311233421808403</v>
      </c>
      <c r="CQ153" s="33">
        <f t="shared" ca="1" si="91"/>
        <v>0</v>
      </c>
      <c r="CR153" s="29">
        <v>70</v>
      </c>
      <c r="CT153" s="33">
        <v>71</v>
      </c>
      <c r="CU153" s="33">
        <f t="shared" ca="1" si="92"/>
        <v>355.01666666666665</v>
      </c>
      <c r="CV153" s="33">
        <f t="shared" si="93"/>
        <v>95.535341426504587</v>
      </c>
      <c r="CW153" s="33">
        <f t="shared" ca="1" si="94"/>
        <v>0</v>
      </c>
      <c r="CX153" s="29">
        <v>70</v>
      </c>
      <c r="CZ153" s="33">
        <v>71</v>
      </c>
      <c r="DA153" s="33">
        <f t="shared" ca="1" si="95"/>
        <v>399.39374999999995</v>
      </c>
      <c r="DB153" s="33">
        <f t="shared" si="96"/>
        <v>191.24703120816517</v>
      </c>
      <c r="DC153" s="33">
        <f t="shared" ca="1" si="97"/>
        <v>0</v>
      </c>
      <c r="DD153" s="29">
        <v>70</v>
      </c>
      <c r="DF153" s="60">
        <v>71</v>
      </c>
      <c r="DG153" s="60">
        <f t="shared" ca="1" si="98"/>
        <v>492.58562499999999</v>
      </c>
      <c r="DH153" s="60">
        <f t="shared" si="99"/>
        <v>329.33410135163871</v>
      </c>
      <c r="DI153" s="60">
        <f t="shared" ca="1" si="100"/>
        <v>0</v>
      </c>
      <c r="DJ153" s="51">
        <v>70</v>
      </c>
      <c r="DL153" s="60">
        <v>71</v>
      </c>
      <c r="DM153" s="60">
        <f t="shared" ca="1" si="101"/>
        <v>630.15458333333333</v>
      </c>
      <c r="DN153" s="60">
        <f t="shared" si="102"/>
        <v>695.88646544074743</v>
      </c>
      <c r="DO153" s="60">
        <f t="shared" ca="1" si="103"/>
        <v>65.731882107414094</v>
      </c>
      <c r="DP153" s="51">
        <v>70</v>
      </c>
    </row>
    <row r="154" spans="2:120" ht="15.75" thickBot="1">
      <c r="B154" s="16"/>
      <c r="C154" s="17"/>
      <c r="D154" s="17"/>
      <c r="E154" s="17"/>
      <c r="F154" s="18"/>
      <c r="G154" s="44"/>
      <c r="H154" s="45"/>
      <c r="I154" s="45"/>
      <c r="J154" s="45"/>
      <c r="K154" s="45"/>
      <c r="L154" s="45"/>
      <c r="M154" s="45"/>
      <c r="N154" s="45"/>
      <c r="O154" s="45"/>
      <c r="P154" s="45"/>
      <c r="Q154" s="45"/>
      <c r="R154" s="45"/>
      <c r="S154" s="45"/>
      <c r="T154" s="45"/>
      <c r="U154" s="46"/>
      <c r="V154" s="46"/>
      <c r="W154" s="46"/>
      <c r="X154" s="46"/>
      <c r="Y154" s="46"/>
      <c r="Z154" s="46"/>
      <c r="AA154" s="46"/>
      <c r="AB154" s="46"/>
      <c r="AC154" s="46"/>
      <c r="AD154" s="46"/>
      <c r="AE154" s="35"/>
      <c r="AF154" s="47"/>
      <c r="AG154" s="46"/>
      <c r="AH154" s="46"/>
      <c r="AI154" s="46"/>
      <c r="AJ154" s="48"/>
      <c r="CH154" s="33">
        <v>72</v>
      </c>
      <c r="CI154" s="33">
        <f t="shared" ca="1" si="86"/>
        <v>319.51499999999999</v>
      </c>
      <c r="CJ154" s="33">
        <f t="shared" si="87"/>
        <v>18.729073282382956</v>
      </c>
      <c r="CK154" s="33">
        <f t="shared" ca="1" si="88"/>
        <v>0</v>
      </c>
      <c r="CL154" s="29">
        <v>71</v>
      </c>
      <c r="CN154" s="33">
        <v>72</v>
      </c>
      <c r="CO154" s="33">
        <f t="shared" ca="1" si="89"/>
        <v>332.828125</v>
      </c>
      <c r="CP154" s="33">
        <f t="shared" si="90"/>
        <v>48.404198027044536</v>
      </c>
      <c r="CQ154" s="33">
        <f t="shared" ca="1" si="91"/>
        <v>0</v>
      </c>
      <c r="CR154" s="29">
        <v>71</v>
      </c>
      <c r="CT154" s="33">
        <v>72</v>
      </c>
      <c r="CU154" s="33">
        <f t="shared" ca="1" si="92"/>
        <v>359.45437499999997</v>
      </c>
      <c r="CV154" s="33">
        <f t="shared" si="93"/>
        <v>95.677339734009365</v>
      </c>
      <c r="CW154" s="33">
        <f t="shared" ca="1" si="94"/>
        <v>0</v>
      </c>
      <c r="CX154" s="29">
        <v>71</v>
      </c>
      <c r="CZ154" s="33">
        <v>72</v>
      </c>
      <c r="DA154" s="33">
        <f t="shared" ca="1" si="95"/>
        <v>403.83145833333333</v>
      </c>
      <c r="DB154" s="33">
        <f t="shared" si="96"/>
        <v>191.46540871429463</v>
      </c>
      <c r="DC154" s="33">
        <f t="shared" ca="1" si="97"/>
        <v>0</v>
      </c>
      <c r="DD154" s="29">
        <v>71</v>
      </c>
      <c r="DF154" s="60">
        <v>72</v>
      </c>
      <c r="DG154" s="60">
        <f t="shared" ca="1" si="98"/>
        <v>497.02333333333331</v>
      </c>
      <c r="DH154" s="60">
        <f t="shared" si="99"/>
        <v>329.63839353800938</v>
      </c>
      <c r="DI154" s="60">
        <f t="shared" ca="1" si="100"/>
        <v>0</v>
      </c>
      <c r="DJ154" s="51">
        <v>71</v>
      </c>
      <c r="DL154" s="60">
        <v>72</v>
      </c>
      <c r="DM154" s="60">
        <f t="shared" ca="1" si="101"/>
        <v>634.5922916666666</v>
      </c>
      <c r="DN154" s="60">
        <f t="shared" si="102"/>
        <v>696.33526404623342</v>
      </c>
      <c r="DO154" s="60">
        <f t="shared" ca="1" si="103"/>
        <v>61.742972379566822</v>
      </c>
      <c r="DP154" s="51">
        <v>71</v>
      </c>
    </row>
    <row r="155" spans="2:120" ht="15" customHeight="1">
      <c r="CH155" s="33">
        <v>73</v>
      </c>
      <c r="CI155" s="33">
        <f t="shared" ca="1" si="86"/>
        <v>323.95270833333331</v>
      </c>
      <c r="CJ155" s="33">
        <f t="shared" si="87"/>
        <v>18.78002916172095</v>
      </c>
      <c r="CK155" s="33">
        <f t="shared" ca="1" si="88"/>
        <v>0</v>
      </c>
      <c r="CL155" s="29">
        <v>72</v>
      </c>
      <c r="CN155" s="33">
        <v>73</v>
      </c>
      <c r="CO155" s="33">
        <f t="shared" ca="1" si="89"/>
        <v>337.26583333333332</v>
      </c>
      <c r="CP155" s="33">
        <f t="shared" si="90"/>
        <v>48.497162632280677</v>
      </c>
      <c r="CQ155" s="33">
        <f t="shared" ca="1" si="91"/>
        <v>0</v>
      </c>
      <c r="CR155" s="29">
        <v>72</v>
      </c>
      <c r="CT155" s="33">
        <v>73</v>
      </c>
      <c r="CU155" s="33">
        <f t="shared" ca="1" si="92"/>
        <v>363.89208333333329</v>
      </c>
      <c r="CV155" s="33">
        <f t="shared" si="93"/>
        <v>95.819338041514143</v>
      </c>
      <c r="CW155" s="33">
        <f t="shared" ca="1" si="94"/>
        <v>0</v>
      </c>
      <c r="CX155" s="29">
        <v>72</v>
      </c>
      <c r="CZ155" s="33">
        <v>73</v>
      </c>
      <c r="DA155" s="33">
        <f t="shared" ca="1" si="95"/>
        <v>408.26916666666665</v>
      </c>
      <c r="DB155" s="33">
        <f t="shared" si="96"/>
        <v>191.68378622042405</v>
      </c>
      <c r="DC155" s="33">
        <f t="shared" ca="1" si="97"/>
        <v>0</v>
      </c>
      <c r="DD155" s="29">
        <v>72</v>
      </c>
      <c r="DF155" s="60">
        <v>73</v>
      </c>
      <c r="DG155" s="60">
        <f t="shared" ca="1" si="98"/>
        <v>501.46104166666663</v>
      </c>
      <c r="DH155" s="60">
        <f t="shared" si="99"/>
        <v>329.94268572437994</v>
      </c>
      <c r="DI155" s="60">
        <f t="shared" ca="1" si="100"/>
        <v>0</v>
      </c>
      <c r="DJ155" s="51">
        <v>72</v>
      </c>
      <c r="DL155" s="60">
        <v>73</v>
      </c>
      <c r="DM155" s="60">
        <f t="shared" ca="1" si="101"/>
        <v>639.03</v>
      </c>
      <c r="DN155" s="60">
        <f t="shared" si="102"/>
        <v>696.78406265171941</v>
      </c>
      <c r="DO155" s="60">
        <f t="shared" ca="1" si="103"/>
        <v>57.754062651719437</v>
      </c>
      <c r="DP155" s="51">
        <v>72</v>
      </c>
    </row>
    <row r="156" spans="2:120">
      <c r="CH156" s="33">
        <v>74</v>
      </c>
      <c r="CI156" s="33">
        <f t="shared" ca="1" si="86"/>
        <v>328.39041666666662</v>
      </c>
      <c r="CJ156" s="33">
        <f t="shared" si="87"/>
        <v>18.830985041058938</v>
      </c>
      <c r="CK156" s="33">
        <f t="shared" ca="1" si="88"/>
        <v>0</v>
      </c>
      <c r="CL156" s="29">
        <v>73</v>
      </c>
      <c r="CN156" s="33">
        <v>74</v>
      </c>
      <c r="CO156" s="33">
        <f t="shared" ca="1" si="89"/>
        <v>341.70354166666664</v>
      </c>
      <c r="CP156" s="33">
        <f t="shared" si="90"/>
        <v>48.590127237516811</v>
      </c>
      <c r="CQ156" s="33">
        <f t="shared" ca="1" si="91"/>
        <v>0</v>
      </c>
      <c r="CR156" s="29">
        <v>73</v>
      </c>
      <c r="CT156" s="33">
        <v>74</v>
      </c>
      <c r="CU156" s="33">
        <f t="shared" ca="1" si="92"/>
        <v>368.32979166666667</v>
      </c>
      <c r="CV156" s="33">
        <f t="shared" si="93"/>
        <v>95.961336349018907</v>
      </c>
      <c r="CW156" s="33">
        <f t="shared" ca="1" si="94"/>
        <v>0</v>
      </c>
      <c r="CX156" s="29">
        <v>73</v>
      </c>
      <c r="CZ156" s="33">
        <v>74</v>
      </c>
      <c r="DA156" s="33">
        <f t="shared" ca="1" si="95"/>
        <v>412.70687499999997</v>
      </c>
      <c r="DB156" s="33">
        <f t="shared" si="96"/>
        <v>191.90216372655354</v>
      </c>
      <c r="DC156" s="33">
        <f t="shared" ca="1" si="97"/>
        <v>0</v>
      </c>
      <c r="DD156" s="29">
        <v>73</v>
      </c>
      <c r="DF156" s="60">
        <v>74</v>
      </c>
      <c r="DG156" s="60">
        <f t="shared" ca="1" si="98"/>
        <v>505.89874999999995</v>
      </c>
      <c r="DH156" s="60">
        <f t="shared" si="99"/>
        <v>330.24697791075062</v>
      </c>
      <c r="DI156" s="60">
        <f t="shared" ca="1" si="100"/>
        <v>0</v>
      </c>
      <c r="DJ156" s="51">
        <v>73</v>
      </c>
      <c r="DL156" s="60">
        <v>74</v>
      </c>
      <c r="DM156" s="60">
        <f t="shared" ca="1" si="101"/>
        <v>643.46770833333335</v>
      </c>
      <c r="DN156" s="60">
        <f t="shared" si="102"/>
        <v>697.2328612572054</v>
      </c>
      <c r="DO156" s="60">
        <f t="shared" ca="1" si="103"/>
        <v>53.765152923872051</v>
      </c>
      <c r="DP156" s="51">
        <v>73</v>
      </c>
    </row>
    <row r="157" spans="2:120">
      <c r="CH157" s="33">
        <v>75</v>
      </c>
      <c r="CI157" s="33">
        <f t="shared" ca="1" si="86"/>
        <v>332.828125</v>
      </c>
      <c r="CJ157" s="33">
        <f t="shared" si="87"/>
        <v>18.881940920396936</v>
      </c>
      <c r="CK157" s="33">
        <f t="shared" ca="1" si="88"/>
        <v>0</v>
      </c>
      <c r="CL157" s="29">
        <v>74</v>
      </c>
      <c r="CN157" s="33">
        <v>75</v>
      </c>
      <c r="CO157" s="33">
        <f t="shared" ca="1" si="89"/>
        <v>346.14125000000001</v>
      </c>
      <c r="CP157" s="33">
        <f t="shared" si="90"/>
        <v>48.683091842752944</v>
      </c>
      <c r="CQ157" s="33">
        <f t="shared" ca="1" si="91"/>
        <v>0</v>
      </c>
      <c r="CR157" s="29">
        <v>74</v>
      </c>
      <c r="CT157" s="33">
        <v>75</v>
      </c>
      <c r="CU157" s="33">
        <f t="shared" ca="1" si="92"/>
        <v>372.76749999999998</v>
      </c>
      <c r="CV157" s="33">
        <f t="shared" si="93"/>
        <v>96.103334656523671</v>
      </c>
      <c r="CW157" s="33">
        <f t="shared" ca="1" si="94"/>
        <v>0</v>
      </c>
      <c r="CX157" s="29">
        <v>74</v>
      </c>
      <c r="CZ157" s="33">
        <v>75</v>
      </c>
      <c r="DA157" s="33">
        <f t="shared" ca="1" si="95"/>
        <v>417.14458333333334</v>
      </c>
      <c r="DB157" s="33">
        <f t="shared" si="96"/>
        <v>192.12054123268297</v>
      </c>
      <c r="DC157" s="33">
        <f t="shared" ca="1" si="97"/>
        <v>0</v>
      </c>
      <c r="DD157" s="29">
        <v>74</v>
      </c>
      <c r="DF157" s="60">
        <v>75</v>
      </c>
      <c r="DG157" s="60">
        <f t="shared" ca="1" si="98"/>
        <v>510.33645833333333</v>
      </c>
      <c r="DH157" s="60">
        <f t="shared" si="99"/>
        <v>330.55127009712129</v>
      </c>
      <c r="DI157" s="60">
        <f t="shared" ca="1" si="100"/>
        <v>0</v>
      </c>
      <c r="DJ157" s="51">
        <v>74</v>
      </c>
      <c r="DL157" s="60">
        <v>75</v>
      </c>
      <c r="DM157" s="60">
        <f t="shared" ca="1" si="101"/>
        <v>647.90541666666661</v>
      </c>
      <c r="DN157" s="60">
        <f t="shared" si="102"/>
        <v>697.68165986269139</v>
      </c>
      <c r="DO157" s="60">
        <f t="shared" ca="1" si="103"/>
        <v>49.77624319602478</v>
      </c>
      <c r="DP157" s="51">
        <v>74</v>
      </c>
    </row>
    <row r="158" spans="2:120">
      <c r="CH158" s="33">
        <v>76</v>
      </c>
      <c r="CI158" s="33">
        <f t="shared" ca="1" si="86"/>
        <v>337.26583333333332</v>
      </c>
      <c r="CJ158" s="33">
        <f t="shared" si="87"/>
        <v>18.932896799734927</v>
      </c>
      <c r="CK158" s="33">
        <f t="shared" ca="1" si="88"/>
        <v>0</v>
      </c>
      <c r="CL158" s="29">
        <v>75</v>
      </c>
      <c r="CN158" s="33">
        <v>76</v>
      </c>
      <c r="CO158" s="33">
        <f t="shared" ca="1" si="89"/>
        <v>350.57895833333333</v>
      </c>
      <c r="CP158" s="33">
        <f t="shared" si="90"/>
        <v>48.776056447989085</v>
      </c>
      <c r="CQ158" s="33">
        <f t="shared" ca="1" si="91"/>
        <v>0</v>
      </c>
      <c r="CR158" s="29">
        <v>75</v>
      </c>
      <c r="CT158" s="33">
        <v>76</v>
      </c>
      <c r="CU158" s="33">
        <f t="shared" ca="1" si="92"/>
        <v>377.2052083333333</v>
      </c>
      <c r="CV158" s="33">
        <f t="shared" si="93"/>
        <v>96.245332964028449</v>
      </c>
      <c r="CW158" s="33">
        <f t="shared" ca="1" si="94"/>
        <v>0</v>
      </c>
      <c r="CX158" s="29">
        <v>75</v>
      </c>
      <c r="CZ158" s="33">
        <v>76</v>
      </c>
      <c r="DA158" s="33">
        <f t="shared" ca="1" si="95"/>
        <v>421.58229166666666</v>
      </c>
      <c r="DB158" s="33">
        <f t="shared" si="96"/>
        <v>192.33891873881242</v>
      </c>
      <c r="DC158" s="33">
        <f t="shared" ca="1" si="97"/>
        <v>0</v>
      </c>
      <c r="DD158" s="29">
        <v>75</v>
      </c>
      <c r="DF158" s="60">
        <v>76</v>
      </c>
      <c r="DG158" s="60">
        <f t="shared" ca="1" si="98"/>
        <v>514.77416666666659</v>
      </c>
      <c r="DH158" s="60">
        <f t="shared" si="99"/>
        <v>330.85556228349191</v>
      </c>
      <c r="DI158" s="60">
        <f t="shared" ca="1" si="100"/>
        <v>0</v>
      </c>
      <c r="DJ158" s="51">
        <v>75</v>
      </c>
      <c r="DL158" s="60">
        <v>76</v>
      </c>
      <c r="DM158" s="60">
        <f t="shared" ca="1" si="101"/>
        <v>652.34312499999999</v>
      </c>
      <c r="DN158" s="60">
        <f t="shared" si="102"/>
        <v>698.13045846817738</v>
      </c>
      <c r="DO158" s="60">
        <f t="shared" ca="1" si="103"/>
        <v>45.787333468177394</v>
      </c>
      <c r="DP158" s="51">
        <v>75</v>
      </c>
    </row>
    <row r="159" spans="2:120">
      <c r="CH159" s="33">
        <v>77</v>
      </c>
      <c r="CI159" s="33">
        <f t="shared" ca="1" si="86"/>
        <v>341.70354166666664</v>
      </c>
      <c r="CJ159" s="33">
        <f t="shared" si="87"/>
        <v>18.983852679072918</v>
      </c>
      <c r="CK159" s="33">
        <f t="shared" ca="1" si="88"/>
        <v>0</v>
      </c>
      <c r="CL159" s="29">
        <v>76</v>
      </c>
      <c r="CN159" s="33">
        <v>77</v>
      </c>
      <c r="CO159" s="33">
        <f t="shared" ca="1" si="89"/>
        <v>355.01666666666665</v>
      </c>
      <c r="CP159" s="33">
        <f t="shared" si="90"/>
        <v>48.869021053225211</v>
      </c>
      <c r="CQ159" s="33">
        <f t="shared" ca="1" si="91"/>
        <v>0</v>
      </c>
      <c r="CR159" s="29">
        <v>76</v>
      </c>
      <c r="CT159" s="33">
        <v>77</v>
      </c>
      <c r="CU159" s="33">
        <f t="shared" ca="1" si="92"/>
        <v>381.64291666666668</v>
      </c>
      <c r="CV159" s="33">
        <f t="shared" si="93"/>
        <v>96.387331271533199</v>
      </c>
      <c r="CW159" s="33">
        <f t="shared" ca="1" si="94"/>
        <v>0</v>
      </c>
      <c r="CX159" s="29">
        <v>76</v>
      </c>
      <c r="CZ159" s="33">
        <v>77</v>
      </c>
      <c r="DA159" s="33">
        <f t="shared" ca="1" si="95"/>
        <v>426.02</v>
      </c>
      <c r="DB159" s="33">
        <f t="shared" si="96"/>
        <v>192.55729624494188</v>
      </c>
      <c r="DC159" s="33">
        <f t="shared" ca="1" si="97"/>
        <v>0</v>
      </c>
      <c r="DD159" s="29">
        <v>76</v>
      </c>
      <c r="DF159" s="60">
        <v>77</v>
      </c>
      <c r="DG159" s="60">
        <f t="shared" ca="1" si="98"/>
        <v>519.21187499999996</v>
      </c>
      <c r="DH159" s="60">
        <f t="shared" si="99"/>
        <v>331.15985446986258</v>
      </c>
      <c r="DI159" s="60">
        <f t="shared" ca="1" si="100"/>
        <v>0</v>
      </c>
      <c r="DJ159" s="51">
        <v>76</v>
      </c>
      <c r="DL159" s="60">
        <v>77</v>
      </c>
      <c r="DM159" s="60">
        <f t="shared" ca="1" si="101"/>
        <v>656.78083333333325</v>
      </c>
      <c r="DN159" s="60">
        <f t="shared" si="102"/>
        <v>698.57925707366326</v>
      </c>
      <c r="DO159" s="60">
        <f t="shared" ca="1" si="103"/>
        <v>41.798423740330009</v>
      </c>
      <c r="DP159" s="51">
        <v>76</v>
      </c>
    </row>
    <row r="160" spans="2:120">
      <c r="CH160" s="33">
        <v>78</v>
      </c>
      <c r="CI160" s="33">
        <f t="shared" ca="1" si="86"/>
        <v>346.14125000000001</v>
      </c>
      <c r="CJ160" s="33">
        <f t="shared" si="87"/>
        <v>19.034808558410912</v>
      </c>
      <c r="CK160" s="33">
        <f t="shared" ca="1" si="88"/>
        <v>0</v>
      </c>
      <c r="CL160" s="29">
        <v>77</v>
      </c>
      <c r="CN160" s="33">
        <v>78</v>
      </c>
      <c r="CO160" s="33">
        <f t="shared" ca="1" si="89"/>
        <v>359.45437499999997</v>
      </c>
      <c r="CP160" s="33">
        <f t="shared" si="90"/>
        <v>48.961985658461344</v>
      </c>
      <c r="CQ160" s="33">
        <f t="shared" ca="1" si="91"/>
        <v>0</v>
      </c>
      <c r="CR160" s="29">
        <v>77</v>
      </c>
      <c r="CT160" s="33">
        <v>78</v>
      </c>
      <c r="CU160" s="33">
        <f t="shared" ca="1" si="92"/>
        <v>386.080625</v>
      </c>
      <c r="CV160" s="33">
        <f t="shared" si="93"/>
        <v>96.529329579037977</v>
      </c>
      <c r="CW160" s="33">
        <f t="shared" ca="1" si="94"/>
        <v>0</v>
      </c>
      <c r="CX160" s="29">
        <v>77</v>
      </c>
      <c r="CZ160" s="33">
        <v>78</v>
      </c>
      <c r="DA160" s="33">
        <f t="shared" ca="1" si="95"/>
        <v>430.4577083333333</v>
      </c>
      <c r="DB160" s="33">
        <f t="shared" si="96"/>
        <v>192.77567375107137</v>
      </c>
      <c r="DC160" s="33">
        <f t="shared" ca="1" si="97"/>
        <v>0</v>
      </c>
      <c r="DD160" s="29">
        <v>77</v>
      </c>
      <c r="DF160" s="60">
        <v>78</v>
      </c>
      <c r="DG160" s="60">
        <f t="shared" ca="1" si="98"/>
        <v>523.64958333333334</v>
      </c>
      <c r="DH160" s="60">
        <f t="shared" si="99"/>
        <v>331.4641466562332</v>
      </c>
      <c r="DI160" s="60">
        <f t="shared" ca="1" si="100"/>
        <v>0</v>
      </c>
      <c r="DJ160" s="51">
        <v>77</v>
      </c>
      <c r="DL160" s="60">
        <v>78</v>
      </c>
      <c r="DM160" s="60">
        <f t="shared" ca="1" si="101"/>
        <v>661.21854166666662</v>
      </c>
      <c r="DN160" s="60">
        <f t="shared" si="102"/>
        <v>699.02805567914925</v>
      </c>
      <c r="DO160" s="60">
        <f t="shared" ca="1" si="103"/>
        <v>37.809514012482623</v>
      </c>
      <c r="DP160" s="51">
        <v>77</v>
      </c>
    </row>
    <row r="161" spans="86:120">
      <c r="CH161" s="33">
        <v>79</v>
      </c>
      <c r="CI161" s="33">
        <f t="shared" ca="1" si="86"/>
        <v>350.57895833333333</v>
      </c>
      <c r="CJ161" s="33">
        <f t="shared" si="87"/>
        <v>19.085764437748903</v>
      </c>
      <c r="CK161" s="33">
        <f t="shared" ca="1" si="88"/>
        <v>0</v>
      </c>
      <c r="CL161" s="29">
        <v>78</v>
      </c>
      <c r="CN161" s="33">
        <v>79</v>
      </c>
      <c r="CO161" s="33">
        <f t="shared" ca="1" si="89"/>
        <v>363.89208333333329</v>
      </c>
      <c r="CP161" s="33">
        <f t="shared" si="90"/>
        <v>49.054950263697478</v>
      </c>
      <c r="CQ161" s="33">
        <f t="shared" ca="1" si="91"/>
        <v>0</v>
      </c>
      <c r="CR161" s="29">
        <v>78</v>
      </c>
      <c r="CT161" s="33">
        <v>79</v>
      </c>
      <c r="CU161" s="33">
        <f t="shared" ca="1" si="92"/>
        <v>390.51833333333332</v>
      </c>
      <c r="CV161" s="33">
        <f t="shared" si="93"/>
        <v>96.671327886542755</v>
      </c>
      <c r="CW161" s="33">
        <f t="shared" ca="1" si="94"/>
        <v>0</v>
      </c>
      <c r="CX161" s="29">
        <v>78</v>
      </c>
      <c r="CZ161" s="33">
        <v>79</v>
      </c>
      <c r="DA161" s="33">
        <f t="shared" ca="1" si="95"/>
        <v>434.89541666666662</v>
      </c>
      <c r="DB161" s="33">
        <f t="shared" si="96"/>
        <v>192.99405125720082</v>
      </c>
      <c r="DC161" s="33">
        <f t="shared" ca="1" si="97"/>
        <v>0</v>
      </c>
      <c r="DD161" s="29">
        <v>78</v>
      </c>
      <c r="DF161" s="60">
        <v>79</v>
      </c>
      <c r="DG161" s="60">
        <f t="shared" ca="1" si="98"/>
        <v>528.0872916666666</v>
      </c>
      <c r="DH161" s="60">
        <f t="shared" si="99"/>
        <v>331.76843884260387</v>
      </c>
      <c r="DI161" s="60">
        <f t="shared" ca="1" si="100"/>
        <v>0</v>
      </c>
      <c r="DJ161" s="51">
        <v>78</v>
      </c>
      <c r="DL161" s="60">
        <v>79</v>
      </c>
      <c r="DM161" s="60">
        <f t="shared" ca="1" si="101"/>
        <v>665.65625</v>
      </c>
      <c r="DN161" s="60">
        <f t="shared" si="102"/>
        <v>699.47685428463524</v>
      </c>
      <c r="DO161" s="60">
        <f t="shared" ca="1" si="103"/>
        <v>33.820604284635237</v>
      </c>
      <c r="DP161" s="51">
        <v>78</v>
      </c>
    </row>
    <row r="162" spans="86:120">
      <c r="CH162" s="33">
        <v>80</v>
      </c>
      <c r="CI162" s="33">
        <f t="shared" ca="1" si="86"/>
        <v>355.01666666666665</v>
      </c>
      <c r="CJ162" s="33">
        <f t="shared" si="87"/>
        <v>19.136720317086894</v>
      </c>
      <c r="CK162" s="33">
        <f t="shared" ca="1" si="88"/>
        <v>0</v>
      </c>
      <c r="CL162" s="29">
        <v>79</v>
      </c>
      <c r="CN162" s="33">
        <v>80</v>
      </c>
      <c r="CO162" s="33">
        <f t="shared" ca="1" si="89"/>
        <v>368.32979166666667</v>
      </c>
      <c r="CP162" s="33">
        <f t="shared" si="90"/>
        <v>49.147914868933611</v>
      </c>
      <c r="CQ162" s="33">
        <f t="shared" ca="1" si="91"/>
        <v>0</v>
      </c>
      <c r="CR162" s="29">
        <v>79</v>
      </c>
      <c r="CT162" s="33">
        <v>80</v>
      </c>
      <c r="CU162" s="33">
        <f t="shared" ca="1" si="92"/>
        <v>394.95604166666664</v>
      </c>
      <c r="CV162" s="33">
        <f t="shared" si="93"/>
        <v>96.813326194047519</v>
      </c>
      <c r="CW162" s="33">
        <f t="shared" ca="1" si="94"/>
        <v>0</v>
      </c>
      <c r="CX162" s="29">
        <v>79</v>
      </c>
      <c r="CZ162" s="33">
        <v>80</v>
      </c>
      <c r="DA162" s="33">
        <f t="shared" ca="1" si="95"/>
        <v>439.333125</v>
      </c>
      <c r="DB162" s="33">
        <f t="shared" si="96"/>
        <v>193.21242876333022</v>
      </c>
      <c r="DC162" s="33">
        <f t="shared" ca="1" si="97"/>
        <v>0</v>
      </c>
      <c r="DD162" s="29">
        <v>79</v>
      </c>
      <c r="DF162" s="60">
        <v>80</v>
      </c>
      <c r="DG162" s="60">
        <f t="shared" ca="1" si="98"/>
        <v>532.52499999999998</v>
      </c>
      <c r="DH162" s="60">
        <f t="shared" si="99"/>
        <v>332.07273102897449</v>
      </c>
      <c r="DI162" s="60">
        <f t="shared" ca="1" si="100"/>
        <v>0</v>
      </c>
      <c r="DJ162" s="51">
        <v>79</v>
      </c>
      <c r="DL162" s="60">
        <v>80</v>
      </c>
      <c r="DM162" s="60">
        <f t="shared" ca="1" si="101"/>
        <v>670.09395833333326</v>
      </c>
      <c r="DN162" s="60">
        <f t="shared" si="102"/>
        <v>699.92565289012123</v>
      </c>
      <c r="DO162" s="60">
        <f t="shared" ca="1" si="103"/>
        <v>29.831694556787966</v>
      </c>
      <c r="DP162" s="51">
        <v>79</v>
      </c>
    </row>
    <row r="163" spans="86:120">
      <c r="CH163" s="33">
        <v>81</v>
      </c>
      <c r="CI163" s="33">
        <f t="shared" ca="1" si="86"/>
        <v>359.45437499999997</v>
      </c>
      <c r="CJ163" s="33">
        <f t="shared" si="87"/>
        <v>19.187676196424889</v>
      </c>
      <c r="CK163" s="33">
        <f t="shared" ca="1" si="88"/>
        <v>0</v>
      </c>
      <c r="CL163" s="29">
        <v>80</v>
      </c>
      <c r="CN163" s="33">
        <v>81</v>
      </c>
      <c r="CO163" s="33">
        <f t="shared" ca="1" si="89"/>
        <v>372.76749999999998</v>
      </c>
      <c r="CP163" s="33">
        <f t="shared" si="90"/>
        <v>49.240879474169752</v>
      </c>
      <c r="CQ163" s="33">
        <f t="shared" ca="1" si="91"/>
        <v>0</v>
      </c>
      <c r="CR163" s="29">
        <v>80</v>
      </c>
      <c r="CT163" s="33">
        <v>81</v>
      </c>
      <c r="CU163" s="33">
        <f t="shared" ca="1" si="92"/>
        <v>399.39374999999995</v>
      </c>
      <c r="CV163" s="33">
        <f t="shared" si="93"/>
        <v>96.955324501552298</v>
      </c>
      <c r="CW163" s="33">
        <f t="shared" ca="1" si="94"/>
        <v>0</v>
      </c>
      <c r="CX163" s="29">
        <v>80</v>
      </c>
      <c r="CZ163" s="33">
        <v>81</v>
      </c>
      <c r="DA163" s="33">
        <f t="shared" ca="1" si="95"/>
        <v>443.77083333333331</v>
      </c>
      <c r="DB163" s="33">
        <f t="shared" si="96"/>
        <v>193.43080626945968</v>
      </c>
      <c r="DC163" s="33">
        <f t="shared" ca="1" si="97"/>
        <v>0</v>
      </c>
      <c r="DD163" s="29">
        <v>80</v>
      </c>
      <c r="DF163" s="60">
        <v>81</v>
      </c>
      <c r="DG163" s="60">
        <f t="shared" ca="1" si="98"/>
        <v>536.96270833333335</v>
      </c>
      <c r="DH163" s="60">
        <f t="shared" si="99"/>
        <v>332.3770232153451</v>
      </c>
      <c r="DI163" s="60">
        <f t="shared" ca="1" si="100"/>
        <v>0</v>
      </c>
      <c r="DJ163" s="51">
        <v>80</v>
      </c>
      <c r="DL163" s="60">
        <v>81</v>
      </c>
      <c r="DM163" s="60">
        <f t="shared" ca="1" si="101"/>
        <v>674.53166666666664</v>
      </c>
      <c r="DN163" s="60">
        <f t="shared" si="102"/>
        <v>700.37445149560722</v>
      </c>
      <c r="DO163" s="60">
        <f t="shared" ca="1" si="103"/>
        <v>25.84278482894058</v>
      </c>
      <c r="DP163" s="51">
        <v>80</v>
      </c>
    </row>
    <row r="164" spans="86:120">
      <c r="CH164" s="33">
        <v>82</v>
      </c>
      <c r="CI164" s="33">
        <f t="shared" ca="1" si="86"/>
        <v>363.89208333333329</v>
      </c>
      <c r="CJ164" s="33">
        <f t="shared" si="87"/>
        <v>19.238632075762879</v>
      </c>
      <c r="CK164" s="33">
        <f t="shared" ca="1" si="88"/>
        <v>0</v>
      </c>
      <c r="CL164" s="29">
        <v>81</v>
      </c>
      <c r="CN164" s="33">
        <v>82</v>
      </c>
      <c r="CO164" s="33">
        <f t="shared" ca="1" si="89"/>
        <v>377.2052083333333</v>
      </c>
      <c r="CP164" s="33">
        <f t="shared" si="90"/>
        <v>49.333844079405885</v>
      </c>
      <c r="CQ164" s="33">
        <f t="shared" ca="1" si="91"/>
        <v>0</v>
      </c>
      <c r="CR164" s="29">
        <v>81</v>
      </c>
      <c r="CT164" s="33">
        <v>82</v>
      </c>
      <c r="CU164" s="33">
        <f t="shared" ca="1" si="92"/>
        <v>403.83145833333333</v>
      </c>
      <c r="CV164" s="33">
        <f t="shared" si="93"/>
        <v>97.097322809057061</v>
      </c>
      <c r="CW164" s="33">
        <f t="shared" ca="1" si="94"/>
        <v>0</v>
      </c>
      <c r="CX164" s="29">
        <v>81</v>
      </c>
      <c r="CZ164" s="33">
        <v>82</v>
      </c>
      <c r="DA164" s="33">
        <f t="shared" ca="1" si="95"/>
        <v>448.20854166666663</v>
      </c>
      <c r="DB164" s="33">
        <f t="shared" si="96"/>
        <v>193.64918377558917</v>
      </c>
      <c r="DC164" s="33">
        <f t="shared" ca="1" si="97"/>
        <v>0</v>
      </c>
      <c r="DD164" s="29">
        <v>81</v>
      </c>
      <c r="DF164" s="60">
        <v>82</v>
      </c>
      <c r="DG164" s="60">
        <f t="shared" ca="1" si="98"/>
        <v>541.40041666666662</v>
      </c>
      <c r="DH164" s="60">
        <f t="shared" si="99"/>
        <v>332.68131540171578</v>
      </c>
      <c r="DI164" s="60">
        <f t="shared" ca="1" si="100"/>
        <v>0</v>
      </c>
      <c r="DJ164" s="51">
        <v>81</v>
      </c>
      <c r="DL164" s="60">
        <v>82</v>
      </c>
      <c r="DM164" s="60">
        <f t="shared" ca="1" si="101"/>
        <v>678.96937500000001</v>
      </c>
      <c r="DN164" s="60">
        <f t="shared" si="102"/>
        <v>700.82325010109309</v>
      </c>
      <c r="DO164" s="60">
        <f t="shared" ca="1" si="103"/>
        <v>21.853875101093081</v>
      </c>
      <c r="DP164" s="51">
        <v>81</v>
      </c>
    </row>
    <row r="165" spans="86:120">
      <c r="CH165" s="33">
        <v>83</v>
      </c>
      <c r="CI165" s="33">
        <f t="shared" ca="1" si="86"/>
        <v>368.32979166666667</v>
      </c>
      <c r="CJ165" s="33">
        <f t="shared" si="87"/>
        <v>19.28958795510087</v>
      </c>
      <c r="CK165" s="33">
        <f t="shared" ca="1" si="88"/>
        <v>0</v>
      </c>
      <c r="CL165" s="29">
        <v>82</v>
      </c>
      <c r="CN165" s="33">
        <v>83</v>
      </c>
      <c r="CO165" s="33">
        <f t="shared" ca="1" si="89"/>
        <v>381.64291666666668</v>
      </c>
      <c r="CP165" s="33">
        <f t="shared" si="90"/>
        <v>49.426808684642019</v>
      </c>
      <c r="CQ165" s="33">
        <f t="shared" ca="1" si="91"/>
        <v>0</v>
      </c>
      <c r="CR165" s="29">
        <v>82</v>
      </c>
      <c r="CT165" s="33">
        <v>83</v>
      </c>
      <c r="CU165" s="33">
        <f t="shared" ca="1" si="92"/>
        <v>408.26916666666665</v>
      </c>
      <c r="CV165" s="33">
        <f t="shared" si="93"/>
        <v>97.23932111656184</v>
      </c>
      <c r="CW165" s="33">
        <f t="shared" ca="1" si="94"/>
        <v>0</v>
      </c>
      <c r="CX165" s="29">
        <v>82</v>
      </c>
      <c r="CZ165" s="33">
        <v>83</v>
      </c>
      <c r="DA165" s="33">
        <f t="shared" ca="1" si="95"/>
        <v>452.64625000000001</v>
      </c>
      <c r="DB165" s="33">
        <f t="shared" si="96"/>
        <v>193.86756128171862</v>
      </c>
      <c r="DC165" s="33">
        <f t="shared" ca="1" si="97"/>
        <v>0</v>
      </c>
      <c r="DD165" s="29">
        <v>82</v>
      </c>
      <c r="DF165" s="60">
        <v>83</v>
      </c>
      <c r="DG165" s="60">
        <f t="shared" ca="1" si="98"/>
        <v>545.83812499999999</v>
      </c>
      <c r="DH165" s="60">
        <f t="shared" si="99"/>
        <v>332.98560758808645</v>
      </c>
      <c r="DI165" s="60">
        <f t="shared" ca="1" si="100"/>
        <v>0</v>
      </c>
      <c r="DJ165" s="51">
        <v>82</v>
      </c>
      <c r="DL165" s="60">
        <v>83</v>
      </c>
      <c r="DM165" s="60">
        <f t="shared" ca="1" si="101"/>
        <v>683.40708333333328</v>
      </c>
      <c r="DN165" s="60">
        <f t="shared" si="102"/>
        <v>701.27204870657908</v>
      </c>
      <c r="DO165" s="60">
        <f t="shared" ca="1" si="103"/>
        <v>17.864965373245809</v>
      </c>
      <c r="DP165" s="51">
        <v>82</v>
      </c>
    </row>
    <row r="166" spans="86:120">
      <c r="CH166" s="33">
        <v>84</v>
      </c>
      <c r="CI166" s="33">
        <f t="shared" ca="1" si="86"/>
        <v>372.76749999999998</v>
      </c>
      <c r="CJ166" s="33">
        <f t="shared" si="87"/>
        <v>19.340543834438868</v>
      </c>
      <c r="CK166" s="33">
        <f t="shared" ca="1" si="88"/>
        <v>0</v>
      </c>
      <c r="CL166" s="29">
        <v>83</v>
      </c>
      <c r="CN166" s="33">
        <v>84</v>
      </c>
      <c r="CO166" s="33">
        <f t="shared" ca="1" si="89"/>
        <v>386.080625</v>
      </c>
      <c r="CP166" s="33">
        <f t="shared" si="90"/>
        <v>49.51977328987816</v>
      </c>
      <c r="CQ166" s="33">
        <f t="shared" ca="1" si="91"/>
        <v>0</v>
      </c>
      <c r="CR166" s="29">
        <v>83</v>
      </c>
      <c r="CT166" s="33">
        <v>84</v>
      </c>
      <c r="CU166" s="33">
        <f t="shared" ca="1" si="92"/>
        <v>412.70687499999997</v>
      </c>
      <c r="CV166" s="33">
        <f t="shared" si="93"/>
        <v>97.381319424066589</v>
      </c>
      <c r="CW166" s="33">
        <f t="shared" ca="1" si="94"/>
        <v>0</v>
      </c>
      <c r="CX166" s="29">
        <v>83</v>
      </c>
      <c r="CZ166" s="33">
        <v>84</v>
      </c>
      <c r="DA166" s="33">
        <f t="shared" ca="1" si="95"/>
        <v>457.08395833333333</v>
      </c>
      <c r="DB166" s="33">
        <f t="shared" si="96"/>
        <v>194.08593878784808</v>
      </c>
      <c r="DC166" s="33">
        <f t="shared" ca="1" si="97"/>
        <v>0</v>
      </c>
      <c r="DD166" s="29">
        <v>83</v>
      </c>
      <c r="DF166" s="60">
        <v>84</v>
      </c>
      <c r="DG166" s="60">
        <f t="shared" ca="1" si="98"/>
        <v>550.27583333333337</v>
      </c>
      <c r="DH166" s="60">
        <f t="shared" si="99"/>
        <v>333.28989977445707</v>
      </c>
      <c r="DI166" s="60">
        <f t="shared" ca="1" si="100"/>
        <v>0</v>
      </c>
      <c r="DJ166" s="51">
        <v>83</v>
      </c>
      <c r="DL166" s="60">
        <v>84</v>
      </c>
      <c r="DM166" s="60">
        <f t="shared" ca="1" si="101"/>
        <v>687.84479166666665</v>
      </c>
      <c r="DN166" s="60">
        <f t="shared" si="102"/>
        <v>701.72084731206508</v>
      </c>
      <c r="DO166" s="60">
        <f t="shared" ca="1" si="103"/>
        <v>13.876055645398424</v>
      </c>
      <c r="DP166" s="51">
        <v>83</v>
      </c>
    </row>
    <row r="167" spans="86:120">
      <c r="CH167" s="33">
        <v>85</v>
      </c>
      <c r="CI167" s="33">
        <f t="shared" ca="1" si="86"/>
        <v>377.2052083333333</v>
      </c>
      <c r="CJ167" s="33">
        <f t="shared" si="87"/>
        <v>19.391499713776856</v>
      </c>
      <c r="CK167" s="33">
        <f t="shared" ca="1" si="88"/>
        <v>0</v>
      </c>
      <c r="CL167" s="29">
        <v>84</v>
      </c>
      <c r="CN167" s="33">
        <v>85</v>
      </c>
      <c r="CO167" s="33">
        <f t="shared" ca="1" si="89"/>
        <v>390.51833333333332</v>
      </c>
      <c r="CP167" s="33">
        <f t="shared" si="90"/>
        <v>49.612737895114293</v>
      </c>
      <c r="CQ167" s="33">
        <f t="shared" ca="1" si="91"/>
        <v>0</v>
      </c>
      <c r="CR167" s="29">
        <v>84</v>
      </c>
      <c r="CT167" s="33">
        <v>85</v>
      </c>
      <c r="CU167" s="33">
        <f t="shared" ca="1" si="92"/>
        <v>417.14458333333334</v>
      </c>
      <c r="CV167" s="33">
        <f t="shared" si="93"/>
        <v>97.523317731571368</v>
      </c>
      <c r="CW167" s="33">
        <f t="shared" ca="1" si="94"/>
        <v>0</v>
      </c>
      <c r="CX167" s="29">
        <v>84</v>
      </c>
      <c r="CZ167" s="33">
        <v>85</v>
      </c>
      <c r="DA167" s="33">
        <f t="shared" ca="1" si="95"/>
        <v>461.52166666666665</v>
      </c>
      <c r="DB167" s="33">
        <f t="shared" si="96"/>
        <v>194.30431629397751</v>
      </c>
      <c r="DC167" s="33">
        <f t="shared" ca="1" si="97"/>
        <v>0</v>
      </c>
      <c r="DD167" s="29">
        <v>84</v>
      </c>
      <c r="DF167" s="60">
        <v>85</v>
      </c>
      <c r="DG167" s="60">
        <f t="shared" ca="1" si="98"/>
        <v>554.71354166666663</v>
      </c>
      <c r="DH167" s="60">
        <f t="shared" si="99"/>
        <v>333.59419196082769</v>
      </c>
      <c r="DI167" s="60">
        <f t="shared" ca="1" si="100"/>
        <v>0</v>
      </c>
      <c r="DJ167" s="51">
        <v>84</v>
      </c>
      <c r="DL167" s="60">
        <v>85</v>
      </c>
      <c r="DM167" s="60">
        <f t="shared" ca="1" si="101"/>
        <v>692.28250000000003</v>
      </c>
      <c r="DN167" s="60">
        <f t="shared" si="102"/>
        <v>702.16964591755107</v>
      </c>
      <c r="DO167" s="60">
        <f t="shared" ca="1" si="103"/>
        <v>9.8871459175510381</v>
      </c>
      <c r="DP167" s="51">
        <v>84</v>
      </c>
    </row>
    <row r="168" spans="86:120">
      <c r="CH168" s="33">
        <v>86</v>
      </c>
      <c r="CI168" s="33">
        <f t="shared" ca="1" si="86"/>
        <v>381.64291666666668</v>
      </c>
      <c r="CJ168" s="33">
        <f t="shared" si="87"/>
        <v>19.44245559311485</v>
      </c>
      <c r="CK168" s="33">
        <f t="shared" ca="1" si="88"/>
        <v>0</v>
      </c>
      <c r="CL168" s="29">
        <v>85</v>
      </c>
      <c r="CN168" s="33">
        <v>86</v>
      </c>
      <c r="CO168" s="33">
        <f t="shared" ca="1" si="89"/>
        <v>394.95604166666664</v>
      </c>
      <c r="CP168" s="33">
        <f t="shared" si="90"/>
        <v>49.705702500350426</v>
      </c>
      <c r="CQ168" s="33">
        <f t="shared" ca="1" si="91"/>
        <v>0</v>
      </c>
      <c r="CR168" s="29">
        <v>85</v>
      </c>
      <c r="CT168" s="33">
        <v>86</v>
      </c>
      <c r="CU168" s="33">
        <f t="shared" ca="1" si="92"/>
        <v>421.58229166666666</v>
      </c>
      <c r="CV168" s="33">
        <f t="shared" si="93"/>
        <v>97.665316039076146</v>
      </c>
      <c r="CW168" s="33">
        <f t="shared" ca="1" si="94"/>
        <v>0</v>
      </c>
      <c r="CX168" s="29">
        <v>85</v>
      </c>
      <c r="CZ168" s="33">
        <v>86</v>
      </c>
      <c r="DA168" s="33">
        <f t="shared" ca="1" si="95"/>
        <v>465.95937499999997</v>
      </c>
      <c r="DB168" s="33">
        <f t="shared" si="96"/>
        <v>194.52269380010696</v>
      </c>
      <c r="DC168" s="33">
        <f t="shared" ca="1" si="97"/>
        <v>0</v>
      </c>
      <c r="DD168" s="29">
        <v>85</v>
      </c>
      <c r="DF168" s="60">
        <v>86</v>
      </c>
      <c r="DG168" s="60">
        <f t="shared" ca="1" si="98"/>
        <v>559.15125</v>
      </c>
      <c r="DH168" s="60">
        <f t="shared" si="99"/>
        <v>333.89848414719836</v>
      </c>
      <c r="DI168" s="60">
        <f t="shared" ca="1" si="100"/>
        <v>0</v>
      </c>
      <c r="DJ168" s="51">
        <v>85</v>
      </c>
      <c r="DL168" s="60">
        <v>86</v>
      </c>
      <c r="DM168" s="60">
        <f t="shared" ca="1" si="101"/>
        <v>696.72020833333329</v>
      </c>
      <c r="DN168" s="60">
        <f t="shared" si="102"/>
        <v>702.61844452303706</v>
      </c>
      <c r="DO168" s="60">
        <f t="shared" ca="1" si="103"/>
        <v>5.8982361897037663</v>
      </c>
      <c r="DP168" s="51">
        <v>85</v>
      </c>
    </row>
    <row r="169" spans="86:120">
      <c r="CH169" s="33">
        <v>87</v>
      </c>
      <c r="CI169" s="33">
        <f t="shared" ca="1" si="86"/>
        <v>386.080625</v>
      </c>
      <c r="CJ169" s="33">
        <f t="shared" si="87"/>
        <v>19.493411472452838</v>
      </c>
      <c r="CK169" s="33">
        <f t="shared" ca="1" si="88"/>
        <v>0</v>
      </c>
      <c r="CL169" s="29">
        <v>86</v>
      </c>
      <c r="CN169" s="33">
        <v>87</v>
      </c>
      <c r="CO169" s="33">
        <f t="shared" ca="1" si="89"/>
        <v>399.39374999999995</v>
      </c>
      <c r="CP169" s="33">
        <f t="shared" si="90"/>
        <v>49.79866710558656</v>
      </c>
      <c r="CQ169" s="33">
        <f t="shared" ca="1" si="91"/>
        <v>0</v>
      </c>
      <c r="CR169" s="29">
        <v>86</v>
      </c>
      <c r="CT169" s="33">
        <v>87</v>
      </c>
      <c r="CU169" s="33">
        <f t="shared" ca="1" si="92"/>
        <v>426.02</v>
      </c>
      <c r="CV169" s="33">
        <f t="shared" si="93"/>
        <v>97.80731434658091</v>
      </c>
      <c r="CW169" s="33">
        <f t="shared" ca="1" si="94"/>
        <v>0</v>
      </c>
      <c r="CX169" s="29">
        <v>86</v>
      </c>
      <c r="CZ169" s="33">
        <v>87</v>
      </c>
      <c r="DA169" s="33">
        <f t="shared" ca="1" si="95"/>
        <v>470.39708333333328</v>
      </c>
      <c r="DB169" s="33">
        <f t="shared" si="96"/>
        <v>194.74107130623642</v>
      </c>
      <c r="DC169" s="33">
        <f t="shared" ca="1" si="97"/>
        <v>0</v>
      </c>
      <c r="DD169" s="29">
        <v>86</v>
      </c>
      <c r="DF169" s="60">
        <v>87</v>
      </c>
      <c r="DG169" s="60">
        <f t="shared" ca="1" si="98"/>
        <v>563.58895833333327</v>
      </c>
      <c r="DH169" s="60">
        <f t="shared" si="99"/>
        <v>334.20277633356898</v>
      </c>
      <c r="DI169" s="60">
        <f t="shared" ca="1" si="100"/>
        <v>0</v>
      </c>
      <c r="DJ169" s="51">
        <v>86</v>
      </c>
      <c r="DL169" s="60">
        <v>87</v>
      </c>
      <c r="DM169" s="60">
        <f t="shared" ca="1" si="101"/>
        <v>701.15791666666667</v>
      </c>
      <c r="DN169" s="60">
        <f t="shared" si="102"/>
        <v>703.06724312852293</v>
      </c>
      <c r="DO169" s="60">
        <f t="shared" ca="1" si="103"/>
        <v>1.9093264618562671</v>
      </c>
      <c r="DP169" s="51">
        <v>86</v>
      </c>
    </row>
    <row r="170" spans="86:120">
      <c r="CH170" s="33">
        <v>88</v>
      </c>
      <c r="CI170" s="33">
        <f t="shared" ca="1" si="86"/>
        <v>390.51833333333332</v>
      </c>
      <c r="CJ170" s="33">
        <f t="shared" si="87"/>
        <v>19.544367351790832</v>
      </c>
      <c r="CK170" s="33">
        <f t="shared" ca="1" si="88"/>
        <v>0</v>
      </c>
      <c r="CL170" s="29">
        <v>87</v>
      </c>
      <c r="CN170" s="33">
        <v>88</v>
      </c>
      <c r="CO170" s="33">
        <f t="shared" ca="1" si="89"/>
        <v>403.83145833333333</v>
      </c>
      <c r="CP170" s="33">
        <f t="shared" si="90"/>
        <v>49.891631710822693</v>
      </c>
      <c r="CQ170" s="33">
        <f t="shared" ca="1" si="91"/>
        <v>0</v>
      </c>
      <c r="CR170" s="29">
        <v>87</v>
      </c>
      <c r="CT170" s="33">
        <v>88</v>
      </c>
      <c r="CU170" s="33">
        <f t="shared" ca="1" si="92"/>
        <v>430.4577083333333</v>
      </c>
      <c r="CV170" s="33">
        <f t="shared" si="93"/>
        <v>97.949312654085674</v>
      </c>
      <c r="CW170" s="33">
        <f t="shared" ca="1" si="94"/>
        <v>0</v>
      </c>
      <c r="CX170" s="29">
        <v>87</v>
      </c>
      <c r="CZ170" s="33">
        <v>88</v>
      </c>
      <c r="DA170" s="33">
        <f t="shared" ca="1" si="95"/>
        <v>474.83479166666666</v>
      </c>
      <c r="DB170" s="33">
        <f t="shared" si="96"/>
        <v>194.95944881236588</v>
      </c>
      <c r="DC170" s="33">
        <f t="shared" ca="1" si="97"/>
        <v>0</v>
      </c>
      <c r="DD170" s="29">
        <v>87</v>
      </c>
      <c r="DF170" s="60">
        <v>88</v>
      </c>
      <c r="DG170" s="60">
        <f t="shared" ca="1" si="98"/>
        <v>568.02666666666664</v>
      </c>
      <c r="DH170" s="60">
        <f t="shared" si="99"/>
        <v>334.50706851993959</v>
      </c>
      <c r="DI170" s="60">
        <f t="shared" ca="1" si="100"/>
        <v>0</v>
      </c>
      <c r="DJ170" s="51">
        <v>87</v>
      </c>
      <c r="DL170" s="60">
        <v>88</v>
      </c>
      <c r="DM170" s="60">
        <f t="shared" ca="1" si="101"/>
        <v>705.59562499999993</v>
      </c>
      <c r="DN170" s="60">
        <f t="shared" si="102"/>
        <v>703.51604173400892</v>
      </c>
      <c r="DO170" s="60">
        <f t="shared" ca="1" si="103"/>
        <v>0</v>
      </c>
      <c r="DP170" s="51">
        <v>87</v>
      </c>
    </row>
    <row r="171" spans="86:120">
      <c r="CH171" s="33">
        <v>89</v>
      </c>
      <c r="CI171" s="33">
        <f t="shared" ca="1" si="86"/>
        <v>394.95604166666664</v>
      </c>
      <c r="CJ171" s="33">
        <f t="shared" si="87"/>
        <v>19.595323231128823</v>
      </c>
      <c r="CK171" s="33">
        <f t="shared" ca="1" si="88"/>
        <v>0</v>
      </c>
      <c r="CL171" s="29">
        <v>88</v>
      </c>
      <c r="CN171" s="33">
        <v>89</v>
      </c>
      <c r="CO171" s="33">
        <f t="shared" ca="1" si="89"/>
        <v>408.26916666666665</v>
      </c>
      <c r="CP171" s="33">
        <f t="shared" si="90"/>
        <v>49.984596316058834</v>
      </c>
      <c r="CQ171" s="33">
        <f t="shared" ca="1" si="91"/>
        <v>0</v>
      </c>
      <c r="CR171" s="29">
        <v>88</v>
      </c>
      <c r="CT171" s="33">
        <v>89</v>
      </c>
      <c r="CU171" s="33">
        <f t="shared" ca="1" si="92"/>
        <v>434.89541666666662</v>
      </c>
      <c r="CV171" s="33">
        <f t="shared" si="93"/>
        <v>98.091310961590452</v>
      </c>
      <c r="CW171" s="33">
        <f t="shared" ca="1" si="94"/>
        <v>0</v>
      </c>
      <c r="CX171" s="29">
        <v>88</v>
      </c>
      <c r="CZ171" s="33">
        <v>89</v>
      </c>
      <c r="DA171" s="33">
        <f t="shared" ca="1" si="95"/>
        <v>479.27249999999998</v>
      </c>
      <c r="DB171" s="33">
        <f t="shared" si="96"/>
        <v>195.17782631849533</v>
      </c>
      <c r="DC171" s="33">
        <f t="shared" ca="1" si="97"/>
        <v>0</v>
      </c>
      <c r="DD171" s="29">
        <v>88</v>
      </c>
      <c r="DF171" s="60">
        <v>89</v>
      </c>
      <c r="DG171" s="60">
        <f t="shared" ca="1" si="98"/>
        <v>572.46437500000002</v>
      </c>
      <c r="DH171" s="60">
        <f t="shared" si="99"/>
        <v>334.81136070631027</v>
      </c>
      <c r="DI171" s="60">
        <f t="shared" ca="1" si="100"/>
        <v>0</v>
      </c>
      <c r="DJ171" s="51">
        <v>88</v>
      </c>
      <c r="DL171" s="60">
        <v>89</v>
      </c>
      <c r="DM171" s="60">
        <f t="shared" ca="1" si="101"/>
        <v>710.0333333333333</v>
      </c>
      <c r="DN171" s="60">
        <f t="shared" si="102"/>
        <v>703.96484033949491</v>
      </c>
      <c r="DO171" s="60">
        <f t="shared" ca="1" si="103"/>
        <v>0</v>
      </c>
      <c r="DP171" s="51">
        <v>88</v>
      </c>
    </row>
    <row r="172" spans="86:120">
      <c r="CH172" s="33">
        <v>90</v>
      </c>
      <c r="CI172" s="33">
        <f t="shared" ca="1" si="86"/>
        <v>399.39374999999995</v>
      </c>
      <c r="CJ172" s="33">
        <f t="shared" si="87"/>
        <v>19.646279110466818</v>
      </c>
      <c r="CK172" s="33">
        <f t="shared" ca="1" si="88"/>
        <v>0</v>
      </c>
      <c r="CL172" s="29">
        <v>89</v>
      </c>
      <c r="CN172" s="33">
        <v>90</v>
      </c>
      <c r="CO172" s="33">
        <f t="shared" ca="1" si="89"/>
        <v>412.70687499999997</v>
      </c>
      <c r="CP172" s="33">
        <f t="shared" si="90"/>
        <v>50.077560921294967</v>
      </c>
      <c r="CQ172" s="33">
        <f t="shared" ca="1" si="91"/>
        <v>0</v>
      </c>
      <c r="CR172" s="29">
        <v>89</v>
      </c>
      <c r="CT172" s="33">
        <v>90</v>
      </c>
      <c r="CU172" s="33">
        <f t="shared" ca="1" si="92"/>
        <v>439.333125</v>
      </c>
      <c r="CV172" s="33">
        <f t="shared" si="93"/>
        <v>98.233309269095216</v>
      </c>
      <c r="CW172" s="33">
        <f t="shared" ca="1" si="94"/>
        <v>0</v>
      </c>
      <c r="CX172" s="29">
        <v>89</v>
      </c>
      <c r="CZ172" s="33">
        <v>90</v>
      </c>
      <c r="DA172" s="33">
        <f t="shared" ca="1" si="95"/>
        <v>483.7102083333333</v>
      </c>
      <c r="DB172" s="33">
        <f t="shared" si="96"/>
        <v>195.39620382462479</v>
      </c>
      <c r="DC172" s="33">
        <f t="shared" ca="1" si="97"/>
        <v>0</v>
      </c>
      <c r="DD172" s="29">
        <v>89</v>
      </c>
      <c r="DF172" s="60">
        <v>90</v>
      </c>
      <c r="DG172" s="60">
        <f t="shared" ca="1" si="98"/>
        <v>576.90208333333328</v>
      </c>
      <c r="DH172" s="60">
        <f t="shared" si="99"/>
        <v>335.11565289268094</v>
      </c>
      <c r="DI172" s="60">
        <f t="shared" ca="1" si="100"/>
        <v>0</v>
      </c>
      <c r="DJ172" s="51">
        <v>89</v>
      </c>
      <c r="DL172" s="60">
        <v>90</v>
      </c>
      <c r="DM172" s="60">
        <f t="shared" ca="1" si="101"/>
        <v>714.47104166666668</v>
      </c>
      <c r="DN172" s="60">
        <f t="shared" si="102"/>
        <v>704.4136389449809</v>
      </c>
      <c r="DO172" s="60">
        <f t="shared" ca="1" si="103"/>
        <v>0</v>
      </c>
      <c r="DP172" s="51">
        <v>89</v>
      </c>
    </row>
    <row r="173" spans="86:120">
      <c r="CH173" s="33">
        <v>91</v>
      </c>
      <c r="CI173" s="33">
        <f t="shared" ca="1" si="86"/>
        <v>403.83145833333333</v>
      </c>
      <c r="CJ173" s="33">
        <f t="shared" si="87"/>
        <v>19.697234989804809</v>
      </c>
      <c r="CK173" s="33">
        <f t="shared" ca="1" si="88"/>
        <v>0</v>
      </c>
      <c r="CL173" s="29">
        <v>90</v>
      </c>
      <c r="CN173" s="33">
        <v>91</v>
      </c>
      <c r="CO173" s="33">
        <f t="shared" ca="1" si="89"/>
        <v>417.14458333333334</v>
      </c>
      <c r="CP173" s="33">
        <f t="shared" si="90"/>
        <v>50.170525526531094</v>
      </c>
      <c r="CQ173" s="33">
        <f t="shared" ca="1" si="91"/>
        <v>0</v>
      </c>
      <c r="CR173" s="29">
        <v>90</v>
      </c>
      <c r="CT173" s="33">
        <v>91</v>
      </c>
      <c r="CU173" s="33">
        <f t="shared" ca="1" si="92"/>
        <v>443.77083333333331</v>
      </c>
      <c r="CV173" s="33">
        <f t="shared" si="93"/>
        <v>98.37530757659998</v>
      </c>
      <c r="CW173" s="33">
        <f t="shared" ca="1" si="94"/>
        <v>0</v>
      </c>
      <c r="CX173" s="29">
        <v>90</v>
      </c>
      <c r="CZ173" s="33">
        <v>91</v>
      </c>
      <c r="DA173" s="33">
        <f t="shared" ca="1" si="95"/>
        <v>488.14791666666667</v>
      </c>
      <c r="DB173" s="33">
        <f t="shared" si="96"/>
        <v>195.61458133075425</v>
      </c>
      <c r="DC173" s="33">
        <f t="shared" ca="1" si="97"/>
        <v>0</v>
      </c>
      <c r="DD173" s="29">
        <v>90</v>
      </c>
      <c r="DF173" s="60">
        <v>91</v>
      </c>
      <c r="DG173" s="60">
        <f t="shared" ca="1" si="98"/>
        <v>581.33979166666666</v>
      </c>
      <c r="DH173" s="60">
        <f t="shared" si="99"/>
        <v>335.41994507905162</v>
      </c>
      <c r="DI173" s="60">
        <f t="shared" ca="1" si="100"/>
        <v>0</v>
      </c>
      <c r="DJ173" s="51">
        <v>90</v>
      </c>
      <c r="DL173" s="60">
        <v>91</v>
      </c>
      <c r="DM173" s="60">
        <f t="shared" ca="1" si="101"/>
        <v>718.90874999999994</v>
      </c>
      <c r="DN173" s="60">
        <f t="shared" si="102"/>
        <v>704.86243755046689</v>
      </c>
      <c r="DO173" s="60">
        <f t="shared" ca="1" si="103"/>
        <v>0</v>
      </c>
      <c r="DP173" s="51">
        <v>90</v>
      </c>
    </row>
    <row r="174" spans="86:120">
      <c r="CH174" s="33">
        <v>92</v>
      </c>
      <c r="CI174" s="33">
        <f t="shared" ca="1" si="86"/>
        <v>408.26916666666665</v>
      </c>
      <c r="CJ174" s="33">
        <f t="shared" si="87"/>
        <v>19.748190869142803</v>
      </c>
      <c r="CK174" s="33">
        <f t="shared" ca="1" si="88"/>
        <v>0</v>
      </c>
      <c r="CL174" s="29">
        <v>91</v>
      </c>
      <c r="CN174" s="33">
        <v>92</v>
      </c>
      <c r="CO174" s="33">
        <f t="shared" ca="1" si="89"/>
        <v>421.58229166666666</v>
      </c>
      <c r="CP174" s="33">
        <f t="shared" si="90"/>
        <v>50.263490131767234</v>
      </c>
      <c r="CQ174" s="33">
        <f t="shared" ca="1" si="91"/>
        <v>0</v>
      </c>
      <c r="CR174" s="29">
        <v>91</v>
      </c>
      <c r="CT174" s="33">
        <v>92</v>
      </c>
      <c r="CU174" s="33">
        <f t="shared" ca="1" si="92"/>
        <v>448.20854166666663</v>
      </c>
      <c r="CV174" s="33">
        <f t="shared" si="93"/>
        <v>98.517305884104744</v>
      </c>
      <c r="CW174" s="33">
        <f t="shared" ca="1" si="94"/>
        <v>0</v>
      </c>
      <c r="CX174" s="29">
        <v>91</v>
      </c>
      <c r="CZ174" s="33">
        <v>92</v>
      </c>
      <c r="DA174" s="33">
        <f t="shared" ca="1" si="95"/>
        <v>492.58562499999999</v>
      </c>
      <c r="DB174" s="33">
        <f t="shared" si="96"/>
        <v>195.83295883688371</v>
      </c>
      <c r="DC174" s="33">
        <f t="shared" ca="1" si="97"/>
        <v>0</v>
      </c>
      <c r="DD174" s="29">
        <v>91</v>
      </c>
      <c r="DF174" s="60">
        <v>92</v>
      </c>
      <c r="DG174" s="60">
        <f t="shared" ca="1" si="98"/>
        <v>585.77749999999992</v>
      </c>
      <c r="DH174" s="60">
        <f t="shared" si="99"/>
        <v>335.72423726542223</v>
      </c>
      <c r="DI174" s="60">
        <f t="shared" ca="1" si="100"/>
        <v>0</v>
      </c>
      <c r="DJ174" s="51">
        <v>91</v>
      </c>
      <c r="DL174" s="60">
        <v>92</v>
      </c>
      <c r="DM174" s="60">
        <f t="shared" ca="1" si="101"/>
        <v>723.34645833333332</v>
      </c>
      <c r="DN174" s="60">
        <f t="shared" si="102"/>
        <v>705.31123615595277</v>
      </c>
      <c r="DO174" s="60">
        <f t="shared" ca="1" si="103"/>
        <v>0</v>
      </c>
      <c r="DP174" s="51">
        <v>91</v>
      </c>
    </row>
    <row r="175" spans="86:120">
      <c r="CH175" s="33">
        <v>93</v>
      </c>
      <c r="CI175" s="33">
        <f t="shared" ca="1" si="86"/>
        <v>412.70687499999997</v>
      </c>
      <c r="CJ175" s="33">
        <f t="shared" si="87"/>
        <v>19.799146748480798</v>
      </c>
      <c r="CK175" s="33">
        <f t="shared" ca="1" si="88"/>
        <v>0</v>
      </c>
      <c r="CL175" s="29">
        <v>92</v>
      </c>
      <c r="CN175" s="33">
        <v>93</v>
      </c>
      <c r="CO175" s="33">
        <f t="shared" ca="1" si="89"/>
        <v>426.02</v>
      </c>
      <c r="CP175" s="33">
        <f t="shared" si="90"/>
        <v>50.356454737003368</v>
      </c>
      <c r="CQ175" s="33">
        <f t="shared" ca="1" si="91"/>
        <v>0</v>
      </c>
      <c r="CR175" s="29">
        <v>92</v>
      </c>
      <c r="CT175" s="33">
        <v>93</v>
      </c>
      <c r="CU175" s="33">
        <f t="shared" ca="1" si="92"/>
        <v>452.64625000000001</v>
      </c>
      <c r="CV175" s="33">
        <f t="shared" si="93"/>
        <v>98.659304191609522</v>
      </c>
      <c r="CW175" s="33">
        <f t="shared" ca="1" si="94"/>
        <v>0</v>
      </c>
      <c r="CX175" s="29">
        <v>92</v>
      </c>
      <c r="CZ175" s="33">
        <v>93</v>
      </c>
      <c r="DA175" s="33">
        <f t="shared" ca="1" si="95"/>
        <v>497.02333333333331</v>
      </c>
      <c r="DB175" s="33">
        <f t="shared" si="96"/>
        <v>196.05133634301313</v>
      </c>
      <c r="DC175" s="33">
        <f t="shared" ca="1" si="97"/>
        <v>0</v>
      </c>
      <c r="DD175" s="29">
        <v>92</v>
      </c>
      <c r="DF175" s="60">
        <v>93</v>
      </c>
      <c r="DG175" s="60">
        <f t="shared" ca="1" si="98"/>
        <v>590.21520833333329</v>
      </c>
      <c r="DH175" s="60">
        <f t="shared" si="99"/>
        <v>336.02852945179285</v>
      </c>
      <c r="DI175" s="60">
        <f t="shared" ca="1" si="100"/>
        <v>0</v>
      </c>
      <c r="DJ175" s="51">
        <v>92</v>
      </c>
      <c r="DL175" s="60">
        <v>93</v>
      </c>
      <c r="DM175" s="60">
        <f t="shared" ca="1" si="101"/>
        <v>727.78416666666658</v>
      </c>
      <c r="DN175" s="60">
        <f t="shared" si="102"/>
        <v>705.76003476143876</v>
      </c>
      <c r="DO175" s="60">
        <f t="shared" ca="1" si="103"/>
        <v>0</v>
      </c>
      <c r="DP175" s="51">
        <v>92</v>
      </c>
    </row>
    <row r="176" spans="86:120">
      <c r="CH176" s="33">
        <v>94</v>
      </c>
      <c r="CI176" s="33">
        <f t="shared" ca="1" si="86"/>
        <v>417.14458333333334</v>
      </c>
      <c r="CJ176" s="33">
        <f t="shared" si="87"/>
        <v>19.850102627818789</v>
      </c>
      <c r="CK176" s="33">
        <f t="shared" ca="1" si="88"/>
        <v>0</v>
      </c>
      <c r="CL176" s="29">
        <v>93</v>
      </c>
      <c r="CN176" s="33">
        <v>94</v>
      </c>
      <c r="CO176" s="33">
        <f t="shared" ca="1" si="89"/>
        <v>430.4577083333333</v>
      </c>
      <c r="CP176" s="33">
        <f t="shared" si="90"/>
        <v>50.449419342239501</v>
      </c>
      <c r="CQ176" s="33">
        <f t="shared" ca="1" si="91"/>
        <v>0</v>
      </c>
      <c r="CR176" s="29">
        <v>93</v>
      </c>
      <c r="CT176" s="33">
        <v>94</v>
      </c>
      <c r="CU176" s="33">
        <f t="shared" ca="1" si="92"/>
        <v>457.08395833333333</v>
      </c>
      <c r="CV176" s="33">
        <f t="shared" si="93"/>
        <v>98.8013024991143</v>
      </c>
      <c r="CW176" s="33">
        <f t="shared" ca="1" si="94"/>
        <v>0</v>
      </c>
      <c r="CX176" s="29">
        <v>93</v>
      </c>
      <c r="CZ176" s="33">
        <v>94</v>
      </c>
      <c r="DA176" s="33">
        <f t="shared" ca="1" si="95"/>
        <v>501.46104166666663</v>
      </c>
      <c r="DB176" s="33">
        <f t="shared" si="96"/>
        <v>196.26971384914259</v>
      </c>
      <c r="DC176" s="33">
        <f t="shared" ca="1" si="97"/>
        <v>0</v>
      </c>
      <c r="DD176" s="29">
        <v>93</v>
      </c>
      <c r="DF176" s="60">
        <v>94</v>
      </c>
      <c r="DG176" s="60">
        <f t="shared" ca="1" si="98"/>
        <v>594.65291666666667</v>
      </c>
      <c r="DH176" s="60">
        <f t="shared" si="99"/>
        <v>336.33282163816352</v>
      </c>
      <c r="DI176" s="60">
        <f t="shared" ca="1" si="100"/>
        <v>0</v>
      </c>
      <c r="DJ176" s="51">
        <v>93</v>
      </c>
      <c r="DL176" s="60">
        <v>94</v>
      </c>
      <c r="DM176" s="60">
        <f t="shared" ca="1" si="101"/>
        <v>732.22187499999995</v>
      </c>
      <c r="DN176" s="60">
        <f t="shared" si="102"/>
        <v>706.20883336692475</v>
      </c>
      <c r="DO176" s="60">
        <f t="shared" ca="1" si="103"/>
        <v>0</v>
      </c>
      <c r="DP176" s="51">
        <v>93</v>
      </c>
    </row>
    <row r="177" spans="86:120">
      <c r="CH177" s="33">
        <v>95</v>
      </c>
      <c r="CI177" s="33">
        <f t="shared" ca="1" si="86"/>
        <v>421.58229166666666</v>
      </c>
      <c r="CJ177" s="33">
        <f t="shared" si="87"/>
        <v>19.901058507156776</v>
      </c>
      <c r="CK177" s="33">
        <f t="shared" ca="1" si="88"/>
        <v>0</v>
      </c>
      <c r="CL177" s="29">
        <v>94</v>
      </c>
      <c r="CN177" s="33">
        <v>95</v>
      </c>
      <c r="CO177" s="33">
        <f t="shared" ca="1" si="89"/>
        <v>434.89541666666662</v>
      </c>
      <c r="CP177" s="33">
        <f t="shared" si="90"/>
        <v>50.542383947475642</v>
      </c>
      <c r="CQ177" s="33">
        <f t="shared" ca="1" si="91"/>
        <v>0</v>
      </c>
      <c r="CR177" s="29">
        <v>94</v>
      </c>
      <c r="CT177" s="33">
        <v>95</v>
      </c>
      <c r="CU177" s="33">
        <f t="shared" ca="1" si="92"/>
        <v>461.52166666666665</v>
      </c>
      <c r="CV177" s="33">
        <f t="shared" si="93"/>
        <v>98.943300806619064</v>
      </c>
      <c r="CW177" s="33">
        <f t="shared" ca="1" si="94"/>
        <v>0</v>
      </c>
      <c r="CX177" s="29">
        <v>94</v>
      </c>
      <c r="CZ177" s="33">
        <v>95</v>
      </c>
      <c r="DA177" s="33">
        <f t="shared" ca="1" si="95"/>
        <v>505.89874999999995</v>
      </c>
      <c r="DB177" s="33">
        <f t="shared" si="96"/>
        <v>196.48809135527208</v>
      </c>
      <c r="DC177" s="33">
        <f t="shared" ca="1" si="97"/>
        <v>0</v>
      </c>
      <c r="DD177" s="29">
        <v>94</v>
      </c>
      <c r="DF177" s="60">
        <v>95</v>
      </c>
      <c r="DG177" s="60">
        <f t="shared" ca="1" si="98"/>
        <v>599.09062499999993</v>
      </c>
      <c r="DH177" s="60">
        <f t="shared" si="99"/>
        <v>336.63711382453408</v>
      </c>
      <c r="DI177" s="60">
        <f t="shared" ca="1" si="100"/>
        <v>0</v>
      </c>
      <c r="DJ177" s="51">
        <v>94</v>
      </c>
      <c r="DL177" s="60">
        <v>95</v>
      </c>
      <c r="DM177" s="60">
        <f t="shared" ca="1" si="101"/>
        <v>736.65958333333333</v>
      </c>
      <c r="DN177" s="60">
        <f t="shared" si="102"/>
        <v>706.65763197241074</v>
      </c>
      <c r="DO177" s="60">
        <f t="shared" ca="1" si="103"/>
        <v>0</v>
      </c>
      <c r="DP177" s="51">
        <v>94</v>
      </c>
    </row>
    <row r="178" spans="86:120">
      <c r="CH178" s="33">
        <v>96</v>
      </c>
      <c r="CI178" s="33">
        <f t="shared" ca="1" si="86"/>
        <v>426.02</v>
      </c>
      <c r="CJ178" s="33">
        <f t="shared" si="87"/>
        <v>19.952014386494771</v>
      </c>
      <c r="CK178" s="33">
        <f t="shared" ca="1" si="88"/>
        <v>0</v>
      </c>
      <c r="CL178" s="29">
        <v>95</v>
      </c>
      <c r="CN178" s="33">
        <v>96</v>
      </c>
      <c r="CO178" s="33">
        <f t="shared" ca="1" si="89"/>
        <v>439.333125</v>
      </c>
      <c r="CP178" s="33">
        <f t="shared" si="90"/>
        <v>50.635348552711775</v>
      </c>
      <c r="CQ178" s="33">
        <f t="shared" ca="1" si="91"/>
        <v>0</v>
      </c>
      <c r="CR178" s="29">
        <v>95</v>
      </c>
      <c r="CT178" s="33">
        <v>96</v>
      </c>
      <c r="CU178" s="33">
        <f t="shared" ca="1" si="92"/>
        <v>465.95937499999997</v>
      </c>
      <c r="CV178" s="33">
        <f t="shared" si="93"/>
        <v>99.085299114123828</v>
      </c>
      <c r="CW178" s="33">
        <f t="shared" ca="1" si="94"/>
        <v>0</v>
      </c>
      <c r="CX178" s="29">
        <v>95</v>
      </c>
      <c r="CZ178" s="33">
        <v>96</v>
      </c>
      <c r="DA178" s="33">
        <f t="shared" ca="1" si="95"/>
        <v>510.33645833333333</v>
      </c>
      <c r="DB178" s="33">
        <f t="shared" si="96"/>
        <v>196.70646886140153</v>
      </c>
      <c r="DC178" s="33">
        <f t="shared" ca="1" si="97"/>
        <v>0</v>
      </c>
      <c r="DD178" s="29">
        <v>95</v>
      </c>
      <c r="DF178" s="60">
        <v>96</v>
      </c>
      <c r="DG178" s="60">
        <f t="shared" ca="1" si="98"/>
        <v>603.52833333333331</v>
      </c>
      <c r="DH178" s="60">
        <f t="shared" si="99"/>
        <v>336.94140601090476</v>
      </c>
      <c r="DI178" s="60">
        <f t="shared" ca="1" si="100"/>
        <v>0</v>
      </c>
      <c r="DJ178" s="51">
        <v>95</v>
      </c>
      <c r="DL178" s="60">
        <v>96</v>
      </c>
      <c r="DM178" s="60">
        <f t="shared" ca="1" si="101"/>
        <v>741.09729166666659</v>
      </c>
      <c r="DN178" s="60">
        <f t="shared" si="102"/>
        <v>707.10643057789673</v>
      </c>
      <c r="DO178" s="60">
        <f t="shared" ca="1" si="103"/>
        <v>0</v>
      </c>
      <c r="DP178" s="51">
        <v>95</v>
      </c>
    </row>
    <row r="179" spans="86:120">
      <c r="CH179" s="33">
        <v>97</v>
      </c>
      <c r="CI179" s="33">
        <f t="shared" ref="CI179:CI182" ca="1" si="104">$CJ$27*CH179</f>
        <v>430.4577083333333</v>
      </c>
      <c r="CJ179" s="33">
        <f t="shared" si="87"/>
        <v>20.002970265832765</v>
      </c>
      <c r="CK179" s="33">
        <f t="shared" ca="1" si="88"/>
        <v>0</v>
      </c>
      <c r="CL179" s="29">
        <v>96</v>
      </c>
      <c r="CN179" s="33">
        <v>97</v>
      </c>
      <c r="CO179" s="33">
        <f t="shared" ca="1" si="89"/>
        <v>443.77083333333331</v>
      </c>
      <c r="CP179" s="33">
        <f t="shared" si="90"/>
        <v>50.728313157947909</v>
      </c>
      <c r="CQ179" s="33">
        <f t="shared" ca="1" si="91"/>
        <v>0</v>
      </c>
      <c r="CR179" s="29">
        <v>96</v>
      </c>
      <c r="CT179" s="33">
        <v>97</v>
      </c>
      <c r="CU179" s="33">
        <f t="shared" ca="1" si="92"/>
        <v>470.39708333333328</v>
      </c>
      <c r="CV179" s="33">
        <f t="shared" si="93"/>
        <v>99.227297421628606</v>
      </c>
      <c r="CW179" s="33">
        <f t="shared" ca="1" si="94"/>
        <v>0</v>
      </c>
      <c r="CX179" s="29">
        <v>96</v>
      </c>
      <c r="CZ179" s="33">
        <v>97</v>
      </c>
      <c r="DA179" s="33">
        <f t="shared" ca="1" si="95"/>
        <v>514.77416666666659</v>
      </c>
      <c r="DB179" s="33">
        <f t="shared" si="96"/>
        <v>196.92484636753096</v>
      </c>
      <c r="DC179" s="33">
        <f t="shared" ca="1" si="97"/>
        <v>0</v>
      </c>
      <c r="DD179" s="29">
        <v>96</v>
      </c>
      <c r="DF179" s="60">
        <v>97</v>
      </c>
      <c r="DG179" s="60">
        <f t="shared" ca="1" si="98"/>
        <v>607.96604166666668</v>
      </c>
      <c r="DH179" s="60">
        <f t="shared" si="99"/>
        <v>337.24569819727537</v>
      </c>
      <c r="DI179" s="60">
        <f t="shared" ca="1" si="100"/>
        <v>0</v>
      </c>
      <c r="DJ179" s="51">
        <v>96</v>
      </c>
      <c r="DL179" s="60">
        <v>97</v>
      </c>
      <c r="DM179" s="60">
        <f t="shared" ca="1" si="101"/>
        <v>745.53499999999997</v>
      </c>
      <c r="DN179" s="60">
        <f t="shared" si="102"/>
        <v>707.55522918338261</v>
      </c>
      <c r="DO179" s="60">
        <f t="shared" ca="1" si="103"/>
        <v>0</v>
      </c>
      <c r="DP179" s="51">
        <v>96</v>
      </c>
    </row>
    <row r="180" spans="86:120">
      <c r="CH180" s="33">
        <v>98</v>
      </c>
      <c r="CI180" s="33">
        <f t="shared" ca="1" si="104"/>
        <v>434.89541666666662</v>
      </c>
      <c r="CJ180" s="33">
        <f t="shared" si="87"/>
        <v>20.053926145170752</v>
      </c>
      <c r="CK180" s="33">
        <f t="shared" ca="1" si="88"/>
        <v>0</v>
      </c>
      <c r="CL180" s="29">
        <v>97</v>
      </c>
      <c r="CN180" s="33">
        <v>98</v>
      </c>
      <c r="CO180" s="33">
        <f t="shared" ca="1" si="89"/>
        <v>448.20854166666663</v>
      </c>
      <c r="CP180" s="33">
        <f t="shared" si="90"/>
        <v>50.821277763184042</v>
      </c>
      <c r="CQ180" s="33">
        <f t="shared" ca="1" si="91"/>
        <v>0</v>
      </c>
      <c r="CR180" s="29">
        <v>97</v>
      </c>
      <c r="CT180" s="33">
        <v>98</v>
      </c>
      <c r="CU180" s="33">
        <f t="shared" ca="1" si="92"/>
        <v>474.83479166666666</v>
      </c>
      <c r="CV180" s="33">
        <f t="shared" si="93"/>
        <v>99.369295729133356</v>
      </c>
      <c r="CW180" s="33">
        <f t="shared" ca="1" si="94"/>
        <v>0</v>
      </c>
      <c r="CX180" s="29">
        <v>97</v>
      </c>
      <c r="CZ180" s="33">
        <v>98</v>
      </c>
      <c r="DA180" s="33">
        <f t="shared" ca="1" si="95"/>
        <v>519.21187499999996</v>
      </c>
      <c r="DB180" s="33">
        <f t="shared" si="96"/>
        <v>197.14322387366042</v>
      </c>
      <c r="DC180" s="33">
        <f t="shared" ca="1" si="97"/>
        <v>0</v>
      </c>
      <c r="DD180" s="29">
        <v>97</v>
      </c>
      <c r="DF180" s="60">
        <v>98</v>
      </c>
      <c r="DG180" s="60">
        <f t="shared" ca="1" si="98"/>
        <v>612.40374999999995</v>
      </c>
      <c r="DH180" s="60">
        <f t="shared" si="99"/>
        <v>337.5499903836461</v>
      </c>
      <c r="DI180" s="60">
        <f t="shared" ca="1" si="100"/>
        <v>0</v>
      </c>
      <c r="DJ180" s="51">
        <v>97</v>
      </c>
      <c r="DL180" s="60">
        <v>98</v>
      </c>
      <c r="DM180" s="60">
        <f t="shared" ca="1" si="101"/>
        <v>749.97270833333334</v>
      </c>
      <c r="DN180" s="60">
        <f t="shared" si="102"/>
        <v>708.0040277888686</v>
      </c>
      <c r="DO180" s="60">
        <f t="shared" ca="1" si="103"/>
        <v>0</v>
      </c>
      <c r="DP180" s="51">
        <v>97</v>
      </c>
    </row>
    <row r="181" spans="86:120">
      <c r="CH181" s="33">
        <v>99</v>
      </c>
      <c r="CI181" s="33">
        <f t="shared" ca="1" si="104"/>
        <v>439.333125</v>
      </c>
      <c r="CJ181" s="33">
        <f t="shared" si="87"/>
        <v>20.104882024508743</v>
      </c>
      <c r="CK181" s="33">
        <f t="shared" ca="1" si="88"/>
        <v>0</v>
      </c>
      <c r="CL181" s="29">
        <v>98</v>
      </c>
      <c r="CN181" s="33">
        <v>99</v>
      </c>
      <c r="CO181" s="33">
        <f t="shared" ca="1" si="89"/>
        <v>452.64625000000001</v>
      </c>
      <c r="CP181" s="33">
        <f t="shared" si="90"/>
        <v>50.914242368420183</v>
      </c>
      <c r="CQ181" s="33">
        <f t="shared" ca="1" si="91"/>
        <v>0</v>
      </c>
      <c r="CR181" s="29">
        <v>98</v>
      </c>
      <c r="CT181" s="33">
        <v>99</v>
      </c>
      <c r="CU181" s="33">
        <f t="shared" ca="1" si="92"/>
        <v>479.27249999999998</v>
      </c>
      <c r="CV181" s="33">
        <f t="shared" si="93"/>
        <v>99.511294036638134</v>
      </c>
      <c r="CW181" s="33">
        <f t="shared" ca="1" si="94"/>
        <v>0</v>
      </c>
      <c r="CX181" s="29">
        <v>98</v>
      </c>
      <c r="CZ181" s="33">
        <v>99</v>
      </c>
      <c r="DA181" s="33">
        <f t="shared" ca="1" si="95"/>
        <v>523.64958333333334</v>
      </c>
      <c r="DB181" s="33">
        <f t="shared" si="96"/>
        <v>197.3616013797899</v>
      </c>
      <c r="DC181" s="33">
        <f t="shared" ca="1" si="97"/>
        <v>0</v>
      </c>
      <c r="DD181" s="29">
        <v>98</v>
      </c>
      <c r="DF181" s="60">
        <v>99</v>
      </c>
      <c r="DG181" s="60">
        <f t="shared" ca="1" si="98"/>
        <v>616.84145833333332</v>
      </c>
      <c r="DH181" s="60">
        <f t="shared" si="99"/>
        <v>337.85428257001672</v>
      </c>
      <c r="DI181" s="60">
        <f t="shared" ca="1" si="100"/>
        <v>0</v>
      </c>
      <c r="DJ181" s="51">
        <v>98</v>
      </c>
      <c r="DL181" s="60">
        <v>99</v>
      </c>
      <c r="DM181" s="60">
        <f t="shared" ca="1" si="101"/>
        <v>754.41041666666661</v>
      </c>
      <c r="DN181" s="60">
        <f t="shared" si="102"/>
        <v>708.45282639435459</v>
      </c>
      <c r="DO181" s="60">
        <f t="shared" ca="1" si="103"/>
        <v>0</v>
      </c>
      <c r="DP181" s="51">
        <v>98</v>
      </c>
    </row>
    <row r="182" spans="86:120">
      <c r="CH182" s="33">
        <v>100</v>
      </c>
      <c r="CI182" s="33">
        <f t="shared" ca="1" si="104"/>
        <v>443.77083333333331</v>
      </c>
      <c r="CJ182" s="33">
        <f t="shared" si="87"/>
        <v>20.155837903846741</v>
      </c>
      <c r="CK182" s="33">
        <f t="shared" ca="1" si="88"/>
        <v>0</v>
      </c>
      <c r="CL182" s="29">
        <v>99</v>
      </c>
      <c r="CN182" s="33">
        <v>100</v>
      </c>
      <c r="CO182" s="33">
        <f t="shared" ca="1" si="89"/>
        <v>457.08395833333333</v>
      </c>
      <c r="CP182" s="33">
        <f t="shared" si="90"/>
        <v>51.007206973656317</v>
      </c>
      <c r="CQ182" s="33">
        <f t="shared" ca="1" si="91"/>
        <v>0</v>
      </c>
      <c r="CR182" s="29">
        <v>99</v>
      </c>
      <c r="CT182" s="33">
        <v>100</v>
      </c>
      <c r="CU182" s="33">
        <f t="shared" ca="1" si="92"/>
        <v>483.7102083333333</v>
      </c>
      <c r="CV182" s="33">
        <f t="shared" si="93"/>
        <v>99.653292344142912</v>
      </c>
      <c r="CW182" s="33">
        <f t="shared" ca="1" si="94"/>
        <v>0</v>
      </c>
      <c r="CX182" s="29">
        <v>99</v>
      </c>
      <c r="CZ182" s="33">
        <v>100</v>
      </c>
      <c r="DA182" s="33">
        <f t="shared" ca="1" si="95"/>
        <v>528.0872916666666</v>
      </c>
      <c r="DB182" s="33">
        <f t="shared" si="96"/>
        <v>197.57997888591933</v>
      </c>
      <c r="DC182" s="33">
        <f t="shared" ca="1" si="97"/>
        <v>0</v>
      </c>
      <c r="DD182" s="29">
        <v>99</v>
      </c>
      <c r="DF182" s="60">
        <v>100</v>
      </c>
      <c r="DG182" s="60">
        <f t="shared" ca="1" si="98"/>
        <v>621.2791666666667</v>
      </c>
      <c r="DH182" s="60">
        <f t="shared" si="99"/>
        <v>338.15857475638734</v>
      </c>
      <c r="DI182" s="60">
        <f t="shared" ca="1" si="100"/>
        <v>0</v>
      </c>
      <c r="DJ182" s="51">
        <v>99</v>
      </c>
      <c r="DL182" s="60">
        <v>100</v>
      </c>
      <c r="DM182" s="60">
        <f t="shared" ca="1" si="101"/>
        <v>758.84812499999998</v>
      </c>
      <c r="DN182" s="60">
        <f t="shared" si="102"/>
        <v>708.90162499984058</v>
      </c>
      <c r="DO182" s="60">
        <f t="shared" ca="1" si="103"/>
        <v>0</v>
      </c>
      <c r="DP182" s="51">
        <v>99</v>
      </c>
    </row>
  </sheetData>
  <sheetProtection password="E71C" sheet="1" objects="1" scenarios="1" selectLockedCells="1"/>
  <mergeCells count="145">
    <mergeCell ref="AG112:AH112"/>
    <mergeCell ref="AI112:AJ112"/>
    <mergeCell ref="AF113:AH113"/>
    <mergeCell ref="AI113:AJ113"/>
    <mergeCell ref="AG59:AH59"/>
    <mergeCell ref="AI59:AJ59"/>
    <mergeCell ref="AF60:AH60"/>
    <mergeCell ref="AI60:AJ60"/>
    <mergeCell ref="U109:AE109"/>
    <mergeCell ref="AF107:AJ107"/>
    <mergeCell ref="Z75:AA75"/>
    <mergeCell ref="Z76:AA76"/>
    <mergeCell ref="AF76:AJ76"/>
    <mergeCell ref="AF104:AJ104"/>
    <mergeCell ref="AF105:AJ105"/>
    <mergeCell ref="AF106:AJ106"/>
    <mergeCell ref="T122:V122"/>
    <mergeCell ref="T123:V123"/>
    <mergeCell ref="T124:V124"/>
    <mergeCell ref="T125:V125"/>
    <mergeCell ref="T126:V126"/>
    <mergeCell ref="T127:V127"/>
    <mergeCell ref="W122:Y122"/>
    <mergeCell ref="W123:Y123"/>
    <mergeCell ref="W124:Y124"/>
    <mergeCell ref="W125:Y125"/>
    <mergeCell ref="W126:Y126"/>
    <mergeCell ref="W127:Y127"/>
    <mergeCell ref="B104:F107"/>
    <mergeCell ref="G104:L104"/>
    <mergeCell ref="M104:AE104"/>
    <mergeCell ref="G107:L107"/>
    <mergeCell ref="M107:S107"/>
    <mergeCell ref="T107:Y107"/>
    <mergeCell ref="Z107:AE107"/>
    <mergeCell ref="R112:S112"/>
    <mergeCell ref="R113:S113"/>
    <mergeCell ref="H112:O112"/>
    <mergeCell ref="H113:O113"/>
    <mergeCell ref="G105:L105"/>
    <mergeCell ref="M105:AE105"/>
    <mergeCell ref="G106:AE106"/>
    <mergeCell ref="H63:T63"/>
    <mergeCell ref="H74:T74"/>
    <mergeCell ref="W75:Y75"/>
    <mergeCell ref="W76:Y76"/>
    <mergeCell ref="H76:V76"/>
    <mergeCell ref="H75:V75"/>
    <mergeCell ref="P113:Q113"/>
    <mergeCell ref="H111:S111"/>
    <mergeCell ref="H61:O61"/>
    <mergeCell ref="P61:R61"/>
    <mergeCell ref="S61:T61"/>
    <mergeCell ref="Y13:AA13"/>
    <mergeCell ref="S66:T66"/>
    <mergeCell ref="P67:R67"/>
    <mergeCell ref="S67:T67"/>
    <mergeCell ref="V58:AE58"/>
    <mergeCell ref="H12:X12"/>
    <mergeCell ref="Y12:AA12"/>
    <mergeCell ref="AB12:AD12"/>
    <mergeCell ref="H7:AD7"/>
    <mergeCell ref="P65:T65"/>
    <mergeCell ref="H65:O65"/>
    <mergeCell ref="AB8:AD8"/>
    <mergeCell ref="AB9:AD9"/>
    <mergeCell ref="AB10:AD10"/>
    <mergeCell ref="AB11:AD11"/>
    <mergeCell ref="AB13:AD13"/>
    <mergeCell ref="H8:X8"/>
    <mergeCell ref="H9:X9"/>
    <mergeCell ref="H10:X10"/>
    <mergeCell ref="H11:X11"/>
    <mergeCell ref="H13:X13"/>
    <mergeCell ref="Y8:AA8"/>
    <mergeCell ref="Y9:AA9"/>
    <mergeCell ref="Y10:AA10"/>
    <mergeCell ref="Y11:AA11"/>
    <mergeCell ref="H15:N15"/>
    <mergeCell ref="H64:O64"/>
    <mergeCell ref="P64:T64"/>
    <mergeCell ref="B2:F5"/>
    <mergeCell ref="G2:L2"/>
    <mergeCell ref="M2:AE2"/>
    <mergeCell ref="AF2:AJ2"/>
    <mergeCell ref="G3:L3"/>
    <mergeCell ref="M3:AE3"/>
    <mergeCell ref="AF3:AJ3"/>
    <mergeCell ref="G4:AE4"/>
    <mergeCell ref="AF4:AJ4"/>
    <mergeCell ref="G5:L5"/>
    <mergeCell ref="M5:S5"/>
    <mergeCell ref="T5:Y5"/>
    <mergeCell ref="Z5:AE5"/>
    <mergeCell ref="AF5:AJ5"/>
    <mergeCell ref="B53:F56"/>
    <mergeCell ref="G53:L53"/>
    <mergeCell ref="M53:AE53"/>
    <mergeCell ref="AF53:AJ53"/>
    <mergeCell ref="G54:L54"/>
    <mergeCell ref="M54:AE54"/>
    <mergeCell ref="AF54:AJ54"/>
    <mergeCell ref="G55:AE55"/>
    <mergeCell ref="AF55:AJ55"/>
    <mergeCell ref="G56:L56"/>
    <mergeCell ref="M56:S56"/>
    <mergeCell ref="T56:Y56"/>
    <mergeCell ref="Z56:AE56"/>
    <mergeCell ref="AF56:AJ56"/>
    <mergeCell ref="H120:V120"/>
    <mergeCell ref="W120:Y120"/>
    <mergeCell ref="Z120:AA120"/>
    <mergeCell ref="AF120:AJ120"/>
    <mergeCell ref="H59:O59"/>
    <mergeCell ref="H60:O60"/>
    <mergeCell ref="H58:T58"/>
    <mergeCell ref="P59:R59"/>
    <mergeCell ref="S59:T59"/>
    <mergeCell ref="P60:R60"/>
    <mergeCell ref="S60:T60"/>
    <mergeCell ref="H109:S109"/>
    <mergeCell ref="H119:V119"/>
    <mergeCell ref="W119:Y119"/>
    <mergeCell ref="Z119:AA119"/>
    <mergeCell ref="H116:L116"/>
    <mergeCell ref="H117:L117"/>
    <mergeCell ref="M116:Q116"/>
    <mergeCell ref="M117:Q117"/>
    <mergeCell ref="H115:Q115"/>
    <mergeCell ref="P112:Q112"/>
    <mergeCell ref="H66:O66"/>
    <mergeCell ref="H67:O67"/>
    <mergeCell ref="P66:R66"/>
    <mergeCell ref="H126:P126"/>
    <mergeCell ref="H127:P127"/>
    <mergeCell ref="Q123:R123"/>
    <mergeCell ref="Q124:R124"/>
    <mergeCell ref="Q125:R125"/>
    <mergeCell ref="Q126:R126"/>
    <mergeCell ref="Q127:R127"/>
    <mergeCell ref="Q122:R122"/>
    <mergeCell ref="H122:P122"/>
    <mergeCell ref="H123:P123"/>
    <mergeCell ref="H124:P124"/>
    <mergeCell ref="H125:P125"/>
  </mergeCells>
  <conditionalFormatting sqref="CI80">
    <cfRule type="expression" dxfId="57" priority="14" stopIfTrue="1">
      <formula>$D79&gt;$D78*1.2</formula>
    </cfRule>
    <cfRule type="expression" dxfId="56" priority="15">
      <formula>$D79&gt;$D78</formula>
    </cfRule>
    <cfRule type="expression" dxfId="55" priority="16">
      <formula>$D79&lt;$D78</formula>
    </cfRule>
  </conditionalFormatting>
  <conditionalFormatting sqref="CI18">
    <cfRule type="expression" dxfId="54" priority="34">
      <formula>$D$17&gt;$D$14</formula>
    </cfRule>
    <cfRule type="expression" dxfId="53" priority="35">
      <formula>$D$17&lt;$D$14</formula>
    </cfRule>
  </conditionalFormatting>
  <conditionalFormatting sqref="CI25">
    <cfRule type="expression" dxfId="52" priority="32">
      <formula>$D$24&gt;$D$14</formula>
    </cfRule>
    <cfRule type="expression" dxfId="51" priority="33">
      <formula>$D$24&lt;$D$14</formula>
    </cfRule>
  </conditionalFormatting>
  <conditionalFormatting sqref="CI35">
    <cfRule type="expression" dxfId="50" priority="29" stopIfTrue="1">
      <formula>$D34&gt;$D33*1.2</formula>
    </cfRule>
    <cfRule type="expression" dxfId="49" priority="30">
      <formula>$D34&gt;$D33</formula>
    </cfRule>
    <cfRule type="expression" dxfId="48" priority="31">
      <formula>$D34&lt;$D33</formula>
    </cfRule>
  </conditionalFormatting>
  <conditionalFormatting sqref="CI44">
    <cfRule type="expression" dxfId="47" priority="26" stopIfTrue="1">
      <formula>$D43&gt;$D42*1.2</formula>
    </cfRule>
    <cfRule type="expression" dxfId="46" priority="27">
      <formula>$D43&gt;$D42</formula>
    </cfRule>
    <cfRule type="expression" dxfId="45" priority="28">
      <formula>$D43&lt;$D42</formula>
    </cfRule>
  </conditionalFormatting>
  <conditionalFormatting sqref="CI53">
    <cfRule type="expression" dxfId="44" priority="23" stopIfTrue="1">
      <formula>$D52&gt;$D51*1.2</formula>
    </cfRule>
    <cfRule type="expression" dxfId="43" priority="24">
      <formula>$D52&gt;$D51</formula>
    </cfRule>
    <cfRule type="expression" dxfId="42" priority="25">
      <formula>$D52&lt;$D51</formula>
    </cfRule>
  </conditionalFormatting>
  <conditionalFormatting sqref="CI62">
    <cfRule type="expression" dxfId="41" priority="20" stopIfTrue="1">
      <formula>$D61&gt;$D60*1.2</formula>
    </cfRule>
    <cfRule type="expression" dxfId="40" priority="21">
      <formula>$D61&gt;$D60</formula>
    </cfRule>
    <cfRule type="expression" dxfId="39" priority="22">
      <formula>$D61&lt;$D60</formula>
    </cfRule>
  </conditionalFormatting>
  <conditionalFormatting sqref="CI71">
    <cfRule type="expression" dxfId="38" priority="17" stopIfTrue="1">
      <formula>$D70&gt;$D69*1.2</formula>
    </cfRule>
    <cfRule type="expression" dxfId="37" priority="18">
      <formula>$D70&gt;$D69</formula>
    </cfRule>
    <cfRule type="expression" dxfId="36" priority="19">
      <formula>$D70&lt;$D69</formula>
    </cfRule>
  </conditionalFormatting>
  <conditionalFormatting sqref="AF76:AJ76">
    <cfRule type="expression" dxfId="35" priority="13">
      <formula>$AF$76="Acceptable"</formula>
    </cfRule>
  </conditionalFormatting>
  <conditionalFormatting sqref="M117 P65:T65">
    <cfRule type="expression" dxfId="34" priority="12">
      <formula>$P$64="Custom"</formula>
    </cfRule>
  </conditionalFormatting>
  <conditionalFormatting sqref="P66:R67">
    <cfRule type="expression" dxfId="33" priority="11">
      <formula>$P$64="Custom"</formula>
    </cfRule>
  </conditionalFormatting>
  <conditionalFormatting sqref="S66:T67">
    <cfRule type="expression" dxfId="32" priority="9">
      <formula>$P$64="Custom"</formula>
    </cfRule>
  </conditionalFormatting>
  <conditionalFormatting sqref="AF120:AJ120">
    <cfRule type="expression" dxfId="31" priority="7">
      <formula>$AF$120="Acceptable"</formula>
    </cfRule>
  </conditionalFormatting>
  <conditionalFormatting sqref="H127:Y127">
    <cfRule type="expression" dxfId="30" priority="5">
      <formula>$CJ$73="N/A"</formula>
    </cfRule>
  </conditionalFormatting>
  <conditionalFormatting sqref="H126:Y126">
    <cfRule type="expression" dxfId="29" priority="4">
      <formula>$CJ$64="N/A"</formula>
    </cfRule>
  </conditionalFormatting>
  <conditionalFormatting sqref="H125:Y125">
    <cfRule type="expression" dxfId="28" priority="3">
      <formula>$CJ$55="N/A"</formula>
    </cfRule>
  </conditionalFormatting>
  <conditionalFormatting sqref="H124:Y124">
    <cfRule type="expression" dxfId="27" priority="2">
      <formula>$CJ$46="N/A"</formula>
    </cfRule>
  </conditionalFormatting>
  <conditionalFormatting sqref="H123:Y123">
    <cfRule type="expression" dxfId="26" priority="1">
      <formula>$CJ$37="N/A"</formula>
    </cfRule>
  </conditionalFormatting>
  <dataValidations count="15">
    <dataValidation type="whole" allowBlank="1" showInputMessage="1" sqref="CJ46">
      <formula1>-1</formula1>
      <formula2>CJ10</formula2>
    </dataValidation>
    <dataValidation type="whole" errorStyle="warning" allowBlank="1" showInputMessage="1" showErrorMessage="1" errorTitle="Channel Length" error="Exceeds Total Channel Length" sqref="CJ32">
      <formula1>-1</formula1>
      <formula2>CJ6</formula2>
    </dataValidation>
    <dataValidation type="whole" errorStyle="warning" allowBlank="1" showInputMessage="1" showErrorMessage="1" errorTitle="Channel Length" error="Exceeds Total Channel Length" sqref="CJ76">
      <formula1>-1</formula1>
      <formula2>CJ$6-CJ$32-CJ$40-CJ$49-CJ$58-CJ$67</formula2>
    </dataValidation>
    <dataValidation type="whole" errorStyle="warning" allowBlank="1" showInputMessage="1" showErrorMessage="1" errorTitle="Channel Length" error="Exceeds Total Channel Length" sqref="CJ67">
      <formula1>-1</formula1>
      <formula2>CJ$6-CJ$32-CJ$40-CJ$49-CJ$58</formula2>
    </dataValidation>
    <dataValidation type="whole" errorStyle="warning" allowBlank="1" showInputMessage="1" showErrorMessage="1" errorTitle="Channel Length" error="Exceeds Total Channel Length" sqref="CJ58">
      <formula1>-1</formula1>
      <formula2>CJ$6-CJ$32-CJ$40-CJ$49</formula2>
    </dataValidation>
    <dataValidation type="whole" errorStyle="warning" allowBlank="1" showInputMessage="1" showErrorMessage="1" errorTitle="Channel Length" error="Exceeds Total Channel Length" sqref="CJ49">
      <formula1>-1</formula1>
      <formula2>CJ$6-CJ$32-CJ$40</formula2>
    </dataValidation>
    <dataValidation type="whole" errorStyle="warning" allowBlank="1" showInputMessage="1" showErrorMessage="1" errorTitle="Channel Length" error="Exceeds Total Channel Length" sqref="CJ40">
      <formula1>-1</formula1>
      <formula2>CJ6-CJ32</formula2>
    </dataValidation>
    <dataValidation type="list" allowBlank="1" showInputMessage="1" showErrorMessage="1" sqref="P64:T64">
      <formula1>$CQ$5:$CY$5</formula1>
    </dataValidation>
    <dataValidation type="list" allowBlank="1" showInputMessage="1" showErrorMessage="1" sqref="M117">
      <formula1>INDIRECT($M$116)</formula1>
    </dataValidation>
    <dataValidation type="list" allowBlank="1" showInputMessage="1" showErrorMessage="1" sqref="Y10:AA10">
      <formula1>$ED$6:$ED$13</formula1>
    </dataValidation>
    <dataValidation type="list" allowBlank="1" showInputMessage="1" showErrorMessage="1" sqref="CJ9 M116:Q116">
      <formula1>Type</formula1>
    </dataValidation>
    <dataValidation type="list" showInputMessage="1" showErrorMessage="1" sqref="CJ10">
      <formula1>INDIRECT($D$9)</formula1>
    </dataValidation>
    <dataValidation type="list" allowBlank="1" showInputMessage="1" showErrorMessage="1" sqref="P65:T65">
      <formula1>INDIRECT($P$64)</formula1>
    </dataValidation>
    <dataValidation type="list" allowBlank="1" showInputMessage="1" showErrorMessage="1" sqref="Y12:AA12">
      <formula1>$EI$4:$EQ$4</formula1>
    </dataValidation>
    <dataValidation type="list" allowBlank="1" showInputMessage="1" showErrorMessage="1" sqref="Y11:AA11">
      <formula1>$EH$6:$EH$16</formula1>
    </dataValidation>
  </dataValidations>
  <pageMargins left="0.7" right="0.7" top="0.75" bottom="0.75" header="0.3" footer="0.3"/>
  <pageSetup paperSize="9" scale="97" orientation="portrait" r:id="rId1"/>
  <rowBreaks count="2" manualBreakCount="2">
    <brk id="52" max="16383" man="1"/>
    <brk id="103" max="16383" man="1"/>
  </rowBreaks>
  <drawing r:id="rId2"/>
  <legacyDrawing r:id="rId3"/>
  <oleObjects>
    <mc:AlternateContent xmlns:mc="http://schemas.openxmlformats.org/markup-compatibility/2006">
      <mc:Choice Requires="x14">
        <oleObject progId="Equation.3" shapeId="1027" r:id="rId4">
          <objectPr defaultSize="0" autoPict="0" r:id="rId5">
            <anchor moveWithCells="1" sizeWithCells="1">
              <from>
                <xdr:col>6</xdr:col>
                <xdr:colOff>142875</xdr:colOff>
                <xdr:row>67</xdr:row>
                <xdr:rowOff>180975</xdr:rowOff>
              </from>
              <to>
                <xdr:col>30</xdr:col>
                <xdr:colOff>47625</xdr:colOff>
                <xdr:row>72</xdr:row>
                <xdr:rowOff>9525</xdr:rowOff>
              </to>
            </anchor>
          </objectPr>
        </oleObject>
      </mc:Choice>
      <mc:Fallback>
        <oleObject progId="Equation.3" shapeId="102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C182"/>
  <sheetViews>
    <sheetView tabSelected="1" topLeftCell="A4" zoomScaleNormal="100" workbookViewId="0">
      <selection activeCell="P21" sqref="P21:R21"/>
    </sheetView>
  </sheetViews>
  <sheetFormatPr defaultRowHeight="15"/>
  <cols>
    <col min="1" max="1" width="1" style="1" customWidth="1"/>
    <col min="2" max="37" width="2.42578125" style="1" customWidth="1"/>
    <col min="38" max="38" width="3" style="1" bestFit="1" customWidth="1"/>
    <col min="39" max="42" width="3" style="1" customWidth="1"/>
    <col min="43" max="75" width="7.85546875" style="1" customWidth="1"/>
    <col min="76" max="76" width="2.85546875" style="1" customWidth="1"/>
    <col min="77" max="78" width="3" style="1" customWidth="1"/>
    <col min="79" max="79" width="3" style="1" hidden="1" customWidth="1"/>
    <col min="80" max="80" width="5.5703125" style="1" bestFit="1" customWidth="1"/>
    <col min="81" max="81" width="12" style="1" bestFit="1" customWidth="1"/>
    <col min="82" max="82" width="12" style="1" hidden="1" customWidth="1"/>
    <col min="83" max="85" width="2.42578125" style="1" hidden="1" customWidth="1"/>
    <col min="86" max="86" width="17.85546875" style="29" bestFit="1" customWidth="1"/>
    <col min="87" max="87" width="43.42578125" style="53" bestFit="1" customWidth="1"/>
    <col min="88" max="89" width="12" style="29" bestFit="1" customWidth="1"/>
    <col min="90" max="90" width="9" style="29" bestFit="1" customWidth="1"/>
    <col min="91" max="91" width="13.85546875" style="29" bestFit="1" customWidth="1"/>
    <col min="92" max="92" width="9.85546875" style="29" bestFit="1" customWidth="1"/>
    <col min="93" max="93" width="22.42578125" style="29" bestFit="1" customWidth="1"/>
    <col min="94" max="95" width="12" style="29" bestFit="1" customWidth="1"/>
    <col min="96" max="96" width="8" style="29" bestFit="1" customWidth="1"/>
    <col min="97" max="98" width="11.28515625" style="29" bestFit="1" customWidth="1"/>
    <col min="99" max="100" width="12" style="29" bestFit="1" customWidth="1"/>
    <col min="101" max="102" width="12.85546875" style="29" bestFit="1" customWidth="1"/>
    <col min="103" max="103" width="7.7109375" style="29" bestFit="1" customWidth="1"/>
    <col min="104" max="104" width="4" style="29" bestFit="1" customWidth="1"/>
    <col min="105" max="107" width="12" style="29" bestFit="1" customWidth="1"/>
    <col min="108" max="108" width="3" style="29" bestFit="1" customWidth="1"/>
    <col min="109" max="109" width="0" style="29" hidden="1" customWidth="1"/>
    <col min="110" max="110" width="4" style="29" bestFit="1" customWidth="1"/>
    <col min="111" max="113" width="12" style="29" bestFit="1" customWidth="1"/>
    <col min="114" max="114" width="3" style="29" bestFit="1" customWidth="1"/>
    <col min="115" max="115" width="0" style="29" hidden="1" customWidth="1"/>
    <col min="116" max="116" width="4" style="29" bestFit="1" customWidth="1"/>
    <col min="117" max="119" width="12" style="29" bestFit="1" customWidth="1"/>
    <col min="120" max="120" width="3" style="29" bestFit="1" customWidth="1"/>
    <col min="121" max="131" width="0" style="29" hidden="1" customWidth="1"/>
    <col min="132" max="132" width="16" style="1" bestFit="1" customWidth="1"/>
    <col min="133" max="133" width="7.140625" style="1" bestFit="1" customWidth="1"/>
    <col min="134" max="134" width="16" style="1" bestFit="1" customWidth="1"/>
    <col min="135" max="135" width="5.5703125" style="1" bestFit="1" customWidth="1"/>
    <col min="136" max="136" width="9.140625" style="1" hidden="1" customWidth="1"/>
    <col min="137" max="137" width="7.7109375" style="1" bestFit="1" customWidth="1"/>
    <col min="138" max="138" width="13.42578125" style="1" bestFit="1" customWidth="1"/>
    <col min="139" max="139" width="14.42578125" style="1" bestFit="1" customWidth="1"/>
    <col min="140" max="142" width="6" style="1" bestFit="1" customWidth="1"/>
    <col min="143" max="145" width="5" style="1" bestFit="1" customWidth="1"/>
    <col min="146" max="146" width="5" style="29" bestFit="1" customWidth="1"/>
    <col min="147" max="147" width="4" style="29" bestFit="1" customWidth="1"/>
    <col min="148" max="150" width="0" style="29" hidden="1" customWidth="1"/>
    <col min="151" max="151" width="8.7109375" style="29" bestFit="1" customWidth="1"/>
    <col min="152" max="154" width="12" style="29" bestFit="1" customWidth="1"/>
    <col min="155" max="155" width="0" style="29" hidden="1" customWidth="1"/>
    <col min="156" max="156" width="12.85546875" style="29" bestFit="1" customWidth="1"/>
    <col min="157" max="158" width="12" style="29" bestFit="1" customWidth="1"/>
    <col min="159" max="159" width="4" style="29" bestFit="1" customWidth="1"/>
    <col min="160" max="161" width="12" style="29" bestFit="1" customWidth="1"/>
    <col min="162" max="162" width="4" style="29" bestFit="1" customWidth="1"/>
    <col min="163" max="165" width="12" style="29" bestFit="1" customWidth="1"/>
    <col min="166" max="166" width="0" style="29" hidden="1" customWidth="1"/>
    <col min="167" max="167" width="7.140625" style="29" bestFit="1" customWidth="1"/>
    <col min="168" max="168" width="5" style="29" bestFit="1" customWidth="1"/>
    <col min="169" max="169" width="12" style="29" bestFit="1" customWidth="1"/>
    <col min="170" max="170" width="0" style="29" hidden="1" customWidth="1"/>
    <col min="171" max="171" width="8.140625" style="29" bestFit="1" customWidth="1"/>
    <col min="172" max="172" width="5" style="29" bestFit="1" customWidth="1"/>
    <col min="173" max="173" width="12" style="29" bestFit="1" customWidth="1"/>
    <col min="174" max="174" width="0" style="29" hidden="1" customWidth="1"/>
    <col min="175" max="175" width="8.140625" style="29" bestFit="1" customWidth="1"/>
    <col min="176" max="176" width="5" style="29" bestFit="1" customWidth="1"/>
    <col min="177" max="177" width="12" style="29" bestFit="1" customWidth="1"/>
    <col min="178" max="178" width="6.28515625" style="29" bestFit="1" customWidth="1"/>
    <col min="179" max="179" width="5" style="29" bestFit="1" customWidth="1"/>
    <col min="180" max="180" width="6" style="29" bestFit="1" customWidth="1"/>
    <col min="181" max="181" width="0" style="51" hidden="1" customWidth="1"/>
    <col min="182" max="182" width="8.7109375" style="51" bestFit="1" customWidth="1"/>
    <col min="183" max="183" width="6" style="51" bestFit="1" customWidth="1"/>
    <col min="184" max="185" width="12" style="51" bestFit="1" customWidth="1"/>
    <col min="186" max="186" width="0" style="51" hidden="1" customWidth="1"/>
    <col min="187" max="187" width="12.85546875" style="51" bestFit="1" customWidth="1"/>
    <col min="188" max="189" width="12" style="51" bestFit="1" customWidth="1"/>
    <col min="190" max="190" width="4" style="51" bestFit="1" customWidth="1"/>
    <col min="191" max="192" width="12" style="51" bestFit="1" customWidth="1"/>
    <col min="193" max="193" width="4" style="51" bestFit="1" customWidth="1"/>
    <col min="194" max="196" width="12" style="51" bestFit="1" customWidth="1"/>
    <col min="197" max="197" width="0" style="51" hidden="1" customWidth="1"/>
    <col min="198" max="198" width="7.140625" style="51" bestFit="1" customWidth="1"/>
    <col min="199" max="199" width="4" style="51" bestFit="1" customWidth="1"/>
    <col min="200" max="200" width="6" style="51" bestFit="1" customWidth="1"/>
    <col min="201" max="201" width="0" style="51" hidden="1" customWidth="1"/>
    <col min="202" max="202" width="8.140625" style="51" bestFit="1" customWidth="1"/>
    <col min="203" max="203" width="4" style="51" bestFit="1" customWidth="1"/>
    <col min="204" max="204" width="6" style="51" bestFit="1" customWidth="1"/>
    <col min="205" max="205" width="0" style="51" hidden="1" customWidth="1"/>
    <col min="206" max="206" width="8.140625" style="51" bestFit="1" customWidth="1"/>
    <col min="207" max="207" width="4" style="51" bestFit="1" customWidth="1"/>
    <col min="208" max="208" width="7" style="51" bestFit="1" customWidth="1"/>
    <col min="209" max="209" width="6.28515625" style="51" bestFit="1" customWidth="1"/>
    <col min="210" max="210" width="4.7109375" style="51" bestFit="1" customWidth="1"/>
    <col min="211" max="211" width="7" style="51" bestFit="1" customWidth="1"/>
    <col min="212" max="213" width="0" style="29" hidden="1" customWidth="1"/>
    <col min="214" max="16384" width="9.140625" style="29"/>
  </cols>
  <sheetData>
    <row r="1" spans="2:211" ht="4.5" customHeight="1" thickBot="1"/>
    <row r="2" spans="2:211" ht="15" customHeight="1">
      <c r="B2" s="146" t="s">
        <v>3</v>
      </c>
      <c r="C2" s="147"/>
      <c r="D2" s="147"/>
      <c r="E2" s="147"/>
      <c r="F2" s="148"/>
      <c r="G2" s="155" t="s">
        <v>4</v>
      </c>
      <c r="H2" s="156"/>
      <c r="I2" s="156"/>
      <c r="J2" s="156"/>
      <c r="K2" s="156"/>
      <c r="L2" s="156"/>
      <c r="M2" s="165"/>
      <c r="N2" s="147"/>
      <c r="O2" s="147"/>
      <c r="P2" s="147"/>
      <c r="Q2" s="147"/>
      <c r="R2" s="147"/>
      <c r="S2" s="147"/>
      <c r="T2" s="147"/>
      <c r="U2" s="147"/>
      <c r="V2" s="147"/>
      <c r="W2" s="147"/>
      <c r="X2" s="147"/>
      <c r="Y2" s="147"/>
      <c r="Z2" s="147"/>
      <c r="AA2" s="147"/>
      <c r="AB2" s="147"/>
      <c r="AC2" s="147"/>
      <c r="AD2" s="147"/>
      <c r="AE2" s="148"/>
      <c r="AF2" s="160" t="s">
        <v>5</v>
      </c>
      <c r="AG2" s="156"/>
      <c r="AH2" s="156"/>
      <c r="AI2" s="156"/>
      <c r="AJ2" s="16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29" t="s">
        <v>46</v>
      </c>
      <c r="CI2" s="53" t="s">
        <v>47</v>
      </c>
      <c r="CJ2" s="49">
        <v>5000</v>
      </c>
      <c r="CK2" s="29" t="s">
        <v>48</v>
      </c>
      <c r="EG2" s="29"/>
      <c r="EH2" s="29"/>
      <c r="EI2" s="29"/>
      <c r="EJ2" s="29"/>
      <c r="EK2" s="29"/>
      <c r="EL2" s="29"/>
      <c r="EM2" s="29"/>
      <c r="EN2" s="29"/>
      <c r="EO2" s="29"/>
    </row>
    <row r="3" spans="2:211">
      <c r="B3" s="149"/>
      <c r="C3" s="150"/>
      <c r="D3" s="150"/>
      <c r="E3" s="150"/>
      <c r="F3" s="151"/>
      <c r="G3" s="102" t="s">
        <v>6</v>
      </c>
      <c r="H3" s="100"/>
      <c r="I3" s="100"/>
      <c r="J3" s="100"/>
      <c r="K3" s="100"/>
      <c r="L3" s="162"/>
      <c r="M3" s="163" t="s">
        <v>138</v>
      </c>
      <c r="N3" s="100"/>
      <c r="O3" s="100"/>
      <c r="P3" s="100"/>
      <c r="Q3" s="100"/>
      <c r="R3" s="100"/>
      <c r="S3" s="100"/>
      <c r="T3" s="100"/>
      <c r="U3" s="100"/>
      <c r="V3" s="100"/>
      <c r="W3" s="100"/>
      <c r="X3" s="100"/>
      <c r="Y3" s="100"/>
      <c r="Z3" s="100"/>
      <c r="AA3" s="100"/>
      <c r="AB3" s="100"/>
      <c r="AC3" s="100"/>
      <c r="AD3" s="100"/>
      <c r="AE3" s="101"/>
      <c r="AF3" s="96" t="s">
        <v>10</v>
      </c>
      <c r="AG3" s="97"/>
      <c r="AH3" s="97"/>
      <c r="AI3" s="97"/>
      <c r="AJ3" s="98"/>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I3" s="53" t="s">
        <v>49</v>
      </c>
      <c r="CJ3" s="49">
        <v>0.9</v>
      </c>
      <c r="DR3" s="1"/>
      <c r="EG3" s="29" t="s">
        <v>36</v>
      </c>
      <c r="EH3" s="29" t="s">
        <v>16</v>
      </c>
      <c r="EI3" s="29" t="s">
        <v>37</v>
      </c>
      <c r="EJ3" s="29"/>
      <c r="EK3" s="29"/>
      <c r="EL3" s="29"/>
      <c r="EM3" s="29"/>
      <c r="EN3" s="29"/>
      <c r="EO3" s="29"/>
      <c r="EZ3" s="50" t="s">
        <v>63</v>
      </c>
      <c r="FA3" s="29" t="s">
        <v>43</v>
      </c>
      <c r="FB3" s="29" t="s">
        <v>44</v>
      </c>
      <c r="FD3" s="29" t="s">
        <v>132</v>
      </c>
      <c r="FE3" s="1"/>
      <c r="FG3" s="29" t="s">
        <v>131</v>
      </c>
      <c r="FH3" s="29" t="s">
        <v>43</v>
      </c>
      <c r="FI3" s="29" t="s">
        <v>44</v>
      </c>
      <c r="FK3" s="29" t="s">
        <v>133</v>
      </c>
      <c r="FL3" s="29" t="s">
        <v>43</v>
      </c>
      <c r="FM3" s="29" t="s">
        <v>44</v>
      </c>
      <c r="FO3" s="29" t="s">
        <v>134</v>
      </c>
      <c r="FP3" s="29" t="s">
        <v>43</v>
      </c>
      <c r="FQ3" s="29" t="s">
        <v>44</v>
      </c>
      <c r="FS3" s="29" t="s">
        <v>135</v>
      </c>
      <c r="FT3" s="29" t="s">
        <v>43</v>
      </c>
      <c r="FU3" s="29" t="s">
        <v>44</v>
      </c>
      <c r="GE3" s="52" t="s">
        <v>63</v>
      </c>
      <c r="GF3" s="51" t="s">
        <v>43</v>
      </c>
      <c r="GG3" s="51" t="s">
        <v>44</v>
      </c>
      <c r="GI3" s="51" t="s">
        <v>132</v>
      </c>
      <c r="GJ3" s="65"/>
      <c r="GL3" s="51" t="s">
        <v>131</v>
      </c>
      <c r="GM3" s="51" t="s">
        <v>43</v>
      </c>
      <c r="GN3" s="51" t="s">
        <v>44</v>
      </c>
      <c r="GP3" s="51" t="s">
        <v>133</v>
      </c>
      <c r="GQ3" s="51" t="s">
        <v>43</v>
      </c>
      <c r="GR3" s="51" t="s">
        <v>44</v>
      </c>
      <c r="GT3" s="51" t="s">
        <v>134</v>
      </c>
      <c r="GU3" s="51" t="s">
        <v>43</v>
      </c>
      <c r="GV3" s="51" t="s">
        <v>44</v>
      </c>
      <c r="GX3" s="51" t="s">
        <v>135</v>
      </c>
      <c r="GY3" s="51" t="s">
        <v>43</v>
      </c>
      <c r="GZ3" s="51" t="s">
        <v>44</v>
      </c>
    </row>
    <row r="4" spans="2:211">
      <c r="B4" s="149"/>
      <c r="C4" s="150"/>
      <c r="D4" s="150"/>
      <c r="E4" s="150"/>
      <c r="F4" s="151"/>
      <c r="G4" s="99" t="s">
        <v>10</v>
      </c>
      <c r="H4" s="100"/>
      <c r="I4" s="100"/>
      <c r="J4" s="100"/>
      <c r="K4" s="100"/>
      <c r="L4" s="100"/>
      <c r="M4" s="100"/>
      <c r="N4" s="100"/>
      <c r="O4" s="100"/>
      <c r="P4" s="100"/>
      <c r="Q4" s="100"/>
      <c r="R4" s="100"/>
      <c r="S4" s="100"/>
      <c r="T4" s="100"/>
      <c r="U4" s="100"/>
      <c r="V4" s="100"/>
      <c r="W4" s="100"/>
      <c r="X4" s="100"/>
      <c r="Y4" s="100"/>
      <c r="Z4" s="100"/>
      <c r="AA4" s="100"/>
      <c r="AB4" s="100"/>
      <c r="AC4" s="100"/>
      <c r="AD4" s="100"/>
      <c r="AE4" s="101"/>
      <c r="AF4" s="102" t="s">
        <v>7</v>
      </c>
      <c r="AG4" s="103"/>
      <c r="AH4" s="103"/>
      <c r="AI4" s="103"/>
      <c r="AJ4" s="104"/>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29" t="s">
        <v>50</v>
      </c>
      <c r="CI4" s="53" t="s">
        <v>51</v>
      </c>
      <c r="CJ4" s="49">
        <v>89</v>
      </c>
      <c r="CK4" s="29" t="s">
        <v>52</v>
      </c>
      <c r="EG4" s="29"/>
      <c r="EH4" s="29"/>
      <c r="EI4" s="29">
        <v>5</v>
      </c>
      <c r="EJ4" s="29">
        <v>10</v>
      </c>
      <c r="EK4" s="29">
        <v>15</v>
      </c>
      <c r="EL4" s="29">
        <v>30</v>
      </c>
      <c r="EM4" s="29">
        <v>45</v>
      </c>
      <c r="EN4" s="29">
        <v>60</v>
      </c>
      <c r="EO4" s="29">
        <v>120</v>
      </c>
      <c r="EP4" s="29">
        <v>240</v>
      </c>
      <c r="EQ4" s="29">
        <v>480</v>
      </c>
      <c r="EU4" s="50" t="s">
        <v>55</v>
      </c>
      <c r="EV4" s="50"/>
      <c r="EW4" s="50" t="s">
        <v>59</v>
      </c>
      <c r="EX4" s="50"/>
      <c r="FA4" s="29">
        <f>FB4*0.75</f>
        <v>0.42599999999999993</v>
      </c>
      <c r="FB4" s="29">
        <f>CJ11</f>
        <v>0.56799999999999995</v>
      </c>
      <c r="FD4" s="29">
        <f>FE4/1.5</f>
        <v>0.37866666666666665</v>
      </c>
      <c r="FE4" s="29">
        <f>CJ11</f>
        <v>0.56799999999999995</v>
      </c>
      <c r="FJ4" s="50"/>
      <c r="FZ4" s="52" t="s">
        <v>55</v>
      </c>
      <c r="GA4" s="52"/>
      <c r="GB4" s="52" t="s">
        <v>59</v>
      </c>
      <c r="GC4" s="52"/>
      <c r="GF4" s="51">
        <f>GG4*0.75</f>
        <v>0.42599999999999993</v>
      </c>
      <c r="GG4" s="51">
        <f>CL11</f>
        <v>0.56799999999999995</v>
      </c>
      <c r="GI4" s="51">
        <f>GJ4/1.5</f>
        <v>0.37866666666666665</v>
      </c>
      <c r="GJ4" s="51">
        <f>CL11</f>
        <v>0.56799999999999995</v>
      </c>
      <c r="GO4" s="52"/>
    </row>
    <row r="5" spans="2:211" ht="15.75" thickBot="1">
      <c r="B5" s="152"/>
      <c r="C5" s="153"/>
      <c r="D5" s="153"/>
      <c r="E5" s="153"/>
      <c r="F5" s="154"/>
      <c r="G5" s="105" t="s">
        <v>8</v>
      </c>
      <c r="H5" s="106"/>
      <c r="I5" s="106"/>
      <c r="J5" s="106"/>
      <c r="K5" s="106"/>
      <c r="L5" s="107"/>
      <c r="M5" s="108">
        <v>1</v>
      </c>
      <c r="N5" s="109"/>
      <c r="O5" s="109"/>
      <c r="P5" s="109"/>
      <c r="Q5" s="109"/>
      <c r="R5" s="109"/>
      <c r="S5" s="110"/>
      <c r="T5" s="111" t="s">
        <v>9</v>
      </c>
      <c r="U5" s="105"/>
      <c r="V5" s="105"/>
      <c r="W5" s="105"/>
      <c r="X5" s="105"/>
      <c r="Y5" s="112"/>
      <c r="Z5" s="113" t="s">
        <v>10</v>
      </c>
      <c r="AA5" s="114"/>
      <c r="AB5" s="114"/>
      <c r="AC5" s="114"/>
      <c r="AD5" s="114"/>
      <c r="AE5" s="115"/>
      <c r="AF5" s="116" t="s">
        <v>10</v>
      </c>
      <c r="AG5" s="114"/>
      <c r="AH5" s="114"/>
      <c r="AI5" s="114"/>
      <c r="AJ5" s="117"/>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29" t="s">
        <v>53</v>
      </c>
      <c r="CI5" s="53" t="s">
        <v>54</v>
      </c>
      <c r="CJ5" s="49">
        <v>0</v>
      </c>
      <c r="CK5" s="29" t="s">
        <v>0</v>
      </c>
      <c r="CM5" s="29" t="s">
        <v>55</v>
      </c>
      <c r="CN5" s="29" t="s">
        <v>56</v>
      </c>
      <c r="CO5" s="29" t="s">
        <v>57</v>
      </c>
      <c r="CQ5" s="50" t="s">
        <v>55</v>
      </c>
      <c r="CR5" s="50" t="s">
        <v>58</v>
      </c>
      <c r="CS5" s="50" t="s">
        <v>59</v>
      </c>
      <c r="CT5" s="50" t="s">
        <v>60</v>
      </c>
      <c r="CU5" s="50" t="s">
        <v>61</v>
      </c>
      <c r="CV5" s="50" t="s">
        <v>62</v>
      </c>
      <c r="CW5" s="50" t="s">
        <v>63</v>
      </c>
      <c r="CX5" s="50" t="s">
        <v>64</v>
      </c>
      <c r="CY5" s="50" t="s">
        <v>114</v>
      </c>
      <c r="CZ5" s="50"/>
      <c r="DA5" s="50"/>
      <c r="DN5" s="50"/>
      <c r="DO5" s="50"/>
      <c r="DS5" s="50"/>
      <c r="DY5" s="50"/>
      <c r="EC5" s="50"/>
      <c r="ED5" s="50"/>
      <c r="EE5" s="50"/>
      <c r="EF5" s="50"/>
      <c r="EG5" s="29" t="s">
        <v>38</v>
      </c>
      <c r="EH5" s="29">
        <v>1</v>
      </c>
      <c r="EI5" s="29">
        <v>55.5</v>
      </c>
      <c r="EJ5" s="29">
        <v>38.799999999999997</v>
      </c>
      <c r="EK5" s="29">
        <v>30.7</v>
      </c>
      <c r="EL5" s="29">
        <v>20</v>
      </c>
      <c r="EM5" s="29">
        <v>15.3</v>
      </c>
      <c r="EN5" s="29">
        <v>12.7</v>
      </c>
      <c r="EO5" s="29">
        <v>7.9</v>
      </c>
      <c r="EP5" s="29">
        <v>4.8</v>
      </c>
      <c r="EQ5" s="29">
        <v>3</v>
      </c>
      <c r="EU5" s="29">
        <f>$P$20/2000</f>
        <v>0.25</v>
      </c>
      <c r="EV5" s="29">
        <v>0</v>
      </c>
      <c r="EW5" s="29">
        <f>EX6*2</f>
        <v>0.28400000000000003</v>
      </c>
      <c r="EX5" s="29">
        <f>CJ11*0.75</f>
        <v>0.42599999999999993</v>
      </c>
      <c r="EZ5" s="29">
        <v>0</v>
      </c>
      <c r="FA5" s="50">
        <f>(FA$4*COS(EZ5*PI()/180)+$FA$4)/2</f>
        <v>0.42599999999999993</v>
      </c>
      <c r="FB5" s="50">
        <f>(FB$4*SIN(EZ5*PI()/180)+$CJ$11)/2</f>
        <v>0.28399999999999997</v>
      </c>
      <c r="FC5" s="29">
        <v>0</v>
      </c>
      <c r="FD5" s="50">
        <f>(FD$4*COS(FC5*PI()/180)+$FD$4)/2</f>
        <v>0.37866666666666665</v>
      </c>
      <c r="FE5" s="50">
        <f>(FE$4*SIN(FC5*PI()/180)+$CJ$11)/2</f>
        <v>0.28399999999999997</v>
      </c>
      <c r="FF5" s="29">
        <v>1</v>
      </c>
      <c r="FG5" s="29">
        <f t="shared" ref="FG5:FG68" si="0">FF5%*2*PI()</f>
        <v>6.2831853071795868E-2</v>
      </c>
      <c r="FH5" s="29">
        <f>($P$20/2000)*SIN(FG5)+($P$20/2000)</f>
        <v>0.26569762988232837</v>
      </c>
      <c r="FI5" s="29">
        <f>($P$20/2000)*COS(FG5)+$P$20/2000</f>
        <v>0.49950668210706789</v>
      </c>
      <c r="FJ5" s="50"/>
      <c r="FL5" s="29">
        <f>IF($P$19="Hexagon",EU5,IF(OR($P$19="Kerbdrain150",$P$19="Kerbdrain280"),FA5,IF(OR($P$19="Channel100",$P$19="Channel150",$P$19="Channel200",$P$19="Channel430"),EW5,IF(AND($P$19="Oval",$CJ$11=0.15),FH5,IF(AND($P$19="Oval",$CJ$11=0.225),FH5,IF(AND($P$19="Oval",$CJ$11=0.35),FH5,IF(AND($P$19="Oval",$CJ$11=0.55),FH5,IF(AND($P$19="Oval",$CJ$11=0.7),FD5,IF(AND($P$19="Oval",$CJ$11=0.9),FD5,"")))))))))</f>
        <v>0.25</v>
      </c>
      <c r="FM5" s="29">
        <f>IF($P$19="Hexagon",EV5,IF(OR($P$19="Kerbdrain150",$P$19="Kerbdrain280"),FB5,IF(OR($P$19="Channel100",$P$19="Channel150",$P$19="Channel200",$P$19="Channel430"),EX5,IF(AND($P$19="Oval",$CJ$11=0.15),FI5,IF(AND($P$19="Oval",$CJ$11=0.225),FI5,IF(AND($P$19="Oval",$CJ$11=0.35),FI5,IF(AND($P$19="Oval",$CJ$11=0.55),FI5,IF(AND($P$19="Oval",$CJ$11=0.7),FE5,IF(AND($P$19="Oval",$CJ$11=0.9),FE5,"")))))))))</f>
        <v>0</v>
      </c>
      <c r="FP5" s="29">
        <f>IF(MAX(FL$5:FM$104)&lt;0.5,FL5*2,FL5)</f>
        <v>0.25</v>
      </c>
      <c r="FQ5" s="29">
        <f>IF(MAX(FL$5:FM$104)&lt;0.5,FM5*2,FM5)</f>
        <v>0</v>
      </c>
      <c r="FT5" s="29">
        <f>FP5+(0.5*(1-MAX(FP$5:FP$104)))</f>
        <v>0.5</v>
      </c>
      <c r="FU5" s="29">
        <f>FQ5+(0.5*(1-MAX(FQ$5:FQ$104)))</f>
        <v>0.21600000000000003</v>
      </c>
      <c r="FW5" s="29">
        <f>MIN(FT5:FT104)</f>
        <v>0.25</v>
      </c>
      <c r="FX5" s="29">
        <v>-0.1</v>
      </c>
      <c r="FZ5" s="51">
        <f>$M$66/2000</f>
        <v>0.25</v>
      </c>
      <c r="GA5" s="51">
        <v>0</v>
      </c>
      <c r="GB5" s="51">
        <f>GC6*2</f>
        <v>0.28400000000000003</v>
      </c>
      <c r="GC5" s="51">
        <f>CL11*0.75</f>
        <v>0.42599999999999993</v>
      </c>
      <c r="GE5" s="51">
        <v>0</v>
      </c>
      <c r="GF5" s="52">
        <f>(GF$4*COS(GE5*PI()/180)+$GF$4)/2</f>
        <v>0.42599999999999993</v>
      </c>
      <c r="GG5" s="52">
        <f>(GG$4*SIN(GE5*PI()/180)+$CL$11)/2</f>
        <v>0.28399999999999997</v>
      </c>
      <c r="GH5" s="51">
        <v>0</v>
      </c>
      <c r="GI5" s="52">
        <f>(GI$4*COS(GH5*PI()/180)+$GI$4)/2</f>
        <v>0.37866666666666665</v>
      </c>
      <c r="GJ5" s="52">
        <f>(GJ$4*SIN(GH5*PI()/180)+$CL$11)/2</f>
        <v>0.28399999999999997</v>
      </c>
      <c r="GK5" s="51">
        <v>1</v>
      </c>
      <c r="GL5" s="51">
        <f>GK5%*2*PI()</f>
        <v>6.2831853071795868E-2</v>
      </c>
      <c r="GM5" s="51">
        <f>($M$66/2000)*SIN(GL5)+($M$66/2000)</f>
        <v>0.26569762988232837</v>
      </c>
      <c r="GN5" s="51">
        <f>($M$66/2000)*COS(GL5)+$M$66/2000</f>
        <v>0.49950668210706789</v>
      </c>
      <c r="GO5" s="52"/>
      <c r="GQ5" s="51">
        <f>IF($M$65="Hexagon",FZ5,IF(OR($M$65="Kerbdrain150",$M$65="Kerbdrain280"),GF5,IF(OR($M$65="Channel100",$M$65="Channel150",$M$65="Channel200",$M$65="Channel430"),GB5,IF(AND($M$65="Oval",$CL$11=0.15),GM5,IF(AND($M$65="Oval",$CL$11=0.225),GM5,IF(AND($M$65="Oval",$CL$11=0.35),GM5,IF(AND($M$65="Oval",$CL$11=0.55),GM5,IF(AND($M$65="Oval",$CL$11=0.7),GI5,IF(AND($M$65="Oval",$CL$11=0.9),GI5,"")))))))))</f>
        <v>0.25</v>
      </c>
      <c r="GR5" s="51">
        <f>IF($M$65="Hexagon",GA5,IF(OR($M$65="Kerbdrain150",$M$65="Kerbdrain280"),GG5,IF(OR($M$65="Channel100",$M$65="Channel150",$M$65="Channel200",$M$65="Channel430"),GC5,IF(AND($M$65="Oval",$CL$11=0.15),GN5,IF(AND($M$65="Oval",$CL$11=0.225),GN5,IF(AND($M$65="Oval",$CL$11=0.35),GN5,IF(AND($M$65="Oval",$CL$11=0.55),GN5,IF(AND($M$65="Oval",$CL$11=0.7),GJ5,IF(AND($M$65="Oval",$CL$11=0.9),GJ5,"")))))))))</f>
        <v>0</v>
      </c>
      <c r="GU5" s="51">
        <f>IF(MAX(GQ$5:GR$104)&lt;0.5,GQ5*2,GQ5)</f>
        <v>0.25</v>
      </c>
      <c r="GV5" s="51">
        <f>IF(MAX(GQ$5:GR$104)&lt;0.5,GR5*2,GR5)</f>
        <v>0</v>
      </c>
      <c r="GY5" s="51">
        <f>GU5+(0.5*(1-MAX(GU$5:GU$104)))</f>
        <v>0.5</v>
      </c>
      <c r="GZ5" s="51">
        <f>GV5+(0.5*(1-MAX(GV$5:GV$104)))</f>
        <v>0.21600000000000003</v>
      </c>
      <c r="HB5" s="51">
        <f>MIN(GY5:GY104)</f>
        <v>0.25</v>
      </c>
      <c r="HC5" s="51">
        <v>-0.1</v>
      </c>
    </row>
    <row r="6" spans="2:211" ht="15.75" thickBot="1">
      <c r="B6" s="2"/>
      <c r="C6" s="3"/>
      <c r="D6" s="3"/>
      <c r="E6" s="3"/>
      <c r="F6" s="4"/>
      <c r="G6" s="70"/>
      <c r="H6" s="38"/>
      <c r="I6" s="38"/>
      <c r="J6" s="38"/>
      <c r="K6" s="38"/>
      <c r="L6" s="38"/>
      <c r="M6" s="38"/>
      <c r="N6" s="38"/>
      <c r="O6" s="38"/>
      <c r="P6" s="38"/>
      <c r="Q6" s="38"/>
      <c r="R6" s="38"/>
      <c r="S6" s="38"/>
      <c r="T6" s="38"/>
      <c r="U6" s="41"/>
      <c r="V6" s="41"/>
      <c r="W6" s="41"/>
      <c r="X6" s="41"/>
      <c r="Y6" s="41"/>
      <c r="Z6" s="41"/>
      <c r="AA6" s="41"/>
      <c r="AB6" s="41"/>
      <c r="AC6" s="41"/>
      <c r="AD6" s="41"/>
      <c r="AE6" s="67"/>
      <c r="AF6" s="42"/>
      <c r="AG6" s="41"/>
      <c r="AH6" s="41"/>
      <c r="AI6" s="41"/>
      <c r="AJ6" s="4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29" t="s">
        <v>65</v>
      </c>
      <c r="CI6" s="53" t="s">
        <v>66</v>
      </c>
      <c r="CJ6" s="49">
        <v>100</v>
      </c>
      <c r="CK6" s="29" t="s">
        <v>1</v>
      </c>
      <c r="CM6" s="29">
        <v>150</v>
      </c>
      <c r="CN6" s="29">
        <v>0.16600000000000001</v>
      </c>
      <c r="CO6" s="29">
        <v>1.9372E-2</v>
      </c>
      <c r="CQ6" s="50">
        <v>150</v>
      </c>
      <c r="CR6" s="50">
        <v>150</v>
      </c>
      <c r="CS6" s="50">
        <v>130</v>
      </c>
      <c r="CT6" s="50">
        <v>180</v>
      </c>
      <c r="CU6" s="50">
        <v>240</v>
      </c>
      <c r="CV6" s="50">
        <v>135</v>
      </c>
      <c r="CW6" s="50">
        <v>135</v>
      </c>
      <c r="CX6" s="50">
        <v>135</v>
      </c>
      <c r="DY6" s="50"/>
      <c r="ED6" s="29" t="s">
        <v>20</v>
      </c>
      <c r="EE6" s="29" t="s">
        <v>21</v>
      </c>
      <c r="EG6" s="29">
        <v>20</v>
      </c>
      <c r="EH6" s="29">
        <v>2</v>
      </c>
      <c r="EI6" s="29">
        <v>69</v>
      </c>
      <c r="EJ6" s="29">
        <v>49.8</v>
      </c>
      <c r="EK6" s="29">
        <v>39.700000000000003</v>
      </c>
      <c r="EL6" s="29">
        <v>25.8</v>
      </c>
      <c r="EM6" s="29">
        <v>19.600000000000001</v>
      </c>
      <c r="EN6" s="29">
        <v>16.100000000000001</v>
      </c>
      <c r="EO6" s="29">
        <v>9.8000000000000007</v>
      </c>
      <c r="EP6" s="29">
        <v>5.9</v>
      </c>
      <c r="EQ6" s="29">
        <v>4</v>
      </c>
      <c r="EU6" s="29">
        <f>$P$20/1000</f>
        <v>0.5</v>
      </c>
      <c r="EV6" s="29">
        <f>$CJ$11/3</f>
        <v>0.18933333333333333</v>
      </c>
      <c r="EW6" s="29">
        <f>EX7*2</f>
        <v>0.28400000000000003</v>
      </c>
      <c r="EX6" s="29">
        <f>CJ11-EX5</f>
        <v>0.14200000000000002</v>
      </c>
      <c r="EZ6" s="29">
        <v>15</v>
      </c>
      <c r="FA6" s="50">
        <f t="shared" ref="FA6:FA29" si="1">(FA$4*COS(EZ6*PI()/180)+$FA$4)/2</f>
        <v>0.41874220099957149</v>
      </c>
      <c r="FB6" s="50">
        <f>(FB$4*SIN(EZ6*PI()/180)+$CJ$11)/2</f>
        <v>0.35750460880911583</v>
      </c>
      <c r="FC6" s="29">
        <v>15</v>
      </c>
      <c r="FD6" s="50">
        <f t="shared" ref="FD6:FD29" si="2">(FD$4*COS(FC6*PI()/180)+$FD$4)/2</f>
        <v>0.37221528977739693</v>
      </c>
      <c r="FE6" s="50">
        <f>(FE$4*SIN(FC6*PI()/180)+$CJ$11)/2</f>
        <v>0.35750460880911583</v>
      </c>
      <c r="FF6" s="29">
        <v>2</v>
      </c>
      <c r="FG6" s="29">
        <f t="shared" si="0"/>
        <v>0.12566370614359174</v>
      </c>
      <c r="FH6" s="29">
        <f>($P$20/2000)*SIN(FG6)+($P$20/2000)</f>
        <v>0.28133330839107606</v>
      </c>
      <c r="FI6" s="29">
        <f>($P$20/2000)*COS(FG6)+$P$20/2000</f>
        <v>0.4980286753286195</v>
      </c>
      <c r="FJ6" s="50"/>
      <c r="FL6" s="29">
        <f>IF($P$19="Hexagon",EU6,IF(OR($P$19="Kerbdrain150",$P$19="Kerbdrain280"),FA6,IF(OR($P$19="Channel100",$P$19="Channel150",$P$19="Channel200",$P$19="Channel430"),EW6,IF(AND($P$19="Oval",$CJ$11=0.15),FH6,IF(AND($P$19="Oval",$CJ$11=0.225),FH6,IF(AND($P$19="Oval",$CJ$11=0.35),FH6,IF(AND($P$19="Oval",$CJ$11=0.55),FH6,IF(AND($P$19="Oval",$CJ$11=0.7),FD6,IF(AND($P$19="Oval",$CJ$11=0.9),FD6,"")))))))))</f>
        <v>0.5</v>
      </c>
      <c r="FM6" s="29">
        <f>IF($P$19="Hexagon",EV6,IF(OR($P$19="Kerbdrain150",$P$19="Kerbdrain280"),FB6,IF(OR($P$19="Channel100",$P$19="Channel150",$P$19="Channel200",$P$19="Channel430"),EX6,IF(AND($P$19="Oval",$CJ$11=0.15),FI6,IF(AND($P$19="Oval",$CJ$11=0.225),FI6,IF(AND($P$19="Oval",$CJ$11=0.35),FI6,IF(AND($P$19="Oval",$CJ$11=0.55),FI6,IF(AND($P$19="Oval",$CJ$11=0.7),FE6,IF(AND($P$19="Oval",$CJ$11=0.9),FE6,"")))))))))</f>
        <v>0.18933333333333333</v>
      </c>
      <c r="FP6" s="29">
        <f>IF(MAX(FL$5:FM$104)&lt;0.5,FL6*2,FL6)</f>
        <v>0.5</v>
      </c>
      <c r="FQ6" s="29">
        <f>IF(MAX(FL$5:FM$104)&lt;0.5,FM6*2,FM6)</f>
        <v>0.18933333333333333</v>
      </c>
      <c r="FT6" s="29">
        <f>IF(AND(FP6=0,FQ6=0),FT5,FP6+(0.5*(1-MAX(FP$5:FP$104))))</f>
        <v>0.75</v>
      </c>
      <c r="FU6" s="29">
        <f>IF(AND(FP6=0,FQ6=0),FU5,FQ6+(0.5*(1-MAX(FQ$5:FQ$104))))</f>
        <v>0.40533333333333332</v>
      </c>
      <c r="FW6" s="29">
        <f>MAX(FT5:FT104)</f>
        <v>0.75</v>
      </c>
      <c r="FX6" s="29">
        <v>-0.1</v>
      </c>
      <c r="FZ6" s="51">
        <f>$M$66/1000</f>
        <v>0.5</v>
      </c>
      <c r="GA6" s="51">
        <f>$CL$11/3</f>
        <v>0.18933333333333333</v>
      </c>
      <c r="GB6" s="51">
        <f>GC7*2</f>
        <v>0.28400000000000003</v>
      </c>
      <c r="GC6" s="51">
        <f>CL11-GC5</f>
        <v>0.14200000000000002</v>
      </c>
      <c r="GE6" s="51">
        <v>15</v>
      </c>
      <c r="GF6" s="52">
        <f t="shared" ref="GF6:GF29" si="3">(GF$4*COS(GE6*PI()/180)+$GF$4)/2</f>
        <v>0.41874220099957149</v>
      </c>
      <c r="GG6" s="52">
        <f>(GG$4*SIN(GE6*PI()/180)+$CL$11)/2</f>
        <v>0.35750460880911583</v>
      </c>
      <c r="GH6" s="51">
        <v>15</v>
      </c>
      <c r="GI6" s="52">
        <f t="shared" ref="GI6:GI29" si="4">(GI$4*COS(GH6*PI()/180)+$GI$4)/2</f>
        <v>0.37221528977739693</v>
      </c>
      <c r="GJ6" s="52">
        <f>(GJ$4*SIN(GH6*PI()/180)+$CL$11)/2</f>
        <v>0.35750460880911583</v>
      </c>
      <c r="GK6" s="51">
        <v>2</v>
      </c>
      <c r="GL6" s="51">
        <f t="shared" ref="GL6:GL69" si="5">GK6%*2*PI()</f>
        <v>0.12566370614359174</v>
      </c>
      <c r="GM6" s="51">
        <f>($M$66/2000)*SIN(GL6)+($M$66/2000)</f>
        <v>0.28133330839107606</v>
      </c>
      <c r="GN6" s="51">
        <f>($M$66/2000)*COS(GL6)+$M$66/2000</f>
        <v>0.4980286753286195</v>
      </c>
      <c r="GO6" s="52"/>
      <c r="GQ6" s="51">
        <f>IF($M$65="Hexagon",FZ6,IF(OR($M$65="Kerbdrain150",$M$65="Kerbdrain280"),GF6,IF(OR($M$65="Channel100",$M$65="Channel150",$M$65="Channel200",$M$65="Channel430"),GB6,IF(AND($M$65="Oval",$CL$11=0.15),GM6,IF(AND($M$65="Oval",$CL$11=0.225),GM6,IF(AND($M$65="Oval",$CL$11=0.35),GM6,IF(AND($M$65="Oval",$CL$11=0.55),GM6,IF(AND($M$65="Oval",$CL$11=0.7),GI6,IF(AND($M$65="Oval",$CL$11=0.9),GI6,"")))))))))</f>
        <v>0.5</v>
      </c>
      <c r="GR6" s="51">
        <f>IF($M$65="Hexagon",GA6,IF(OR($M$65="Kerbdrain150",$M$65="Kerbdrain280"),GG6,IF(OR($M$65="Channel100",$M$65="Channel150",$M$65="Channel200",$M$65="Channel430"),GC6,IF(AND($M$65="Oval",$CL$11=0.15),GN6,IF(AND($M$65="Oval",$CL$11=0.225),GN6,IF(AND($M$65="Oval",$CL$11=0.35),GN6,IF(AND($M$65="Oval",$CL$11=0.55),GN6,IF(AND($M$65="Oval",$CL$11=0.7),GJ6,IF(AND($M$65="Oval",$CL$11=0.9),GJ6,"")))))))))</f>
        <v>0.18933333333333333</v>
      </c>
      <c r="GU6" s="51">
        <f>IF(MAX(GQ$5:GR$104)&lt;0.5,GQ6*2,GQ6)</f>
        <v>0.5</v>
      </c>
      <c r="GV6" s="51">
        <f>IF(MAX(GQ$5:GR$104)&lt;0.5,GR6*2,GR6)</f>
        <v>0.18933333333333333</v>
      </c>
      <c r="GY6" s="51">
        <f>IF(AND(GU6=0,GV6=0),GY5,GU6+(0.5*(1-MAX(GU$5:GU$104))))</f>
        <v>0.75</v>
      </c>
      <c r="GZ6" s="51">
        <f>IF(AND(GU6=0,GV6=0),GZ5,GV6+(0.5*(1-MAX(GV$5:GV$104))))</f>
        <v>0.40533333333333332</v>
      </c>
      <c r="HB6" s="51">
        <f>MAX(GY5:GY104)</f>
        <v>0.75</v>
      </c>
      <c r="HC6" s="51">
        <v>-0.1</v>
      </c>
    </row>
    <row r="7" spans="2:211" ht="15.75" thickBot="1">
      <c r="B7" s="9"/>
      <c r="C7" s="10"/>
      <c r="D7" s="10"/>
      <c r="E7" s="10"/>
      <c r="F7" s="11"/>
      <c r="G7" s="70"/>
      <c r="H7" s="90" t="s">
        <v>11</v>
      </c>
      <c r="I7" s="176"/>
      <c r="J7" s="176"/>
      <c r="K7" s="176"/>
      <c r="L7" s="176"/>
      <c r="M7" s="176"/>
      <c r="N7" s="176"/>
      <c r="O7" s="176"/>
      <c r="P7" s="176"/>
      <c r="Q7" s="176"/>
      <c r="R7" s="176"/>
      <c r="S7" s="176"/>
      <c r="T7" s="176"/>
      <c r="U7" s="176"/>
      <c r="V7" s="176"/>
      <c r="W7" s="176"/>
      <c r="X7" s="176"/>
      <c r="Y7" s="176"/>
      <c r="Z7" s="176"/>
      <c r="AA7" s="176"/>
      <c r="AB7" s="176"/>
      <c r="AC7" s="176"/>
      <c r="AD7" s="177"/>
      <c r="AE7" s="67"/>
      <c r="AF7" s="42"/>
      <c r="AG7" s="41"/>
      <c r="AH7" s="41"/>
      <c r="AI7" s="41"/>
      <c r="AJ7" s="4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29" t="s">
        <v>67</v>
      </c>
      <c r="CI7" s="53" t="s">
        <v>68</v>
      </c>
      <c r="CJ7" s="51">
        <f>IF(CJ5&lt;=0.5,0.132*(CJ5/100)-0.00022,0.00044)</f>
        <v>-2.2000000000000001E-4</v>
      </c>
      <c r="CM7" s="29">
        <v>225</v>
      </c>
      <c r="CN7" s="29">
        <v>0.252</v>
      </c>
      <c r="CO7" s="29">
        <v>4.3763000000000003E-2</v>
      </c>
      <c r="CQ7" s="50">
        <v>225</v>
      </c>
      <c r="CR7" s="50">
        <v>225</v>
      </c>
      <c r="CS7" s="50">
        <v>180</v>
      </c>
      <c r="CT7" s="50">
        <v>230</v>
      </c>
      <c r="CU7" s="50">
        <v>265</v>
      </c>
      <c r="CV7" s="50">
        <v>205</v>
      </c>
      <c r="CW7" s="50">
        <v>185</v>
      </c>
      <c r="CX7" s="50">
        <v>205</v>
      </c>
      <c r="DY7" s="50"/>
      <c r="ED7" s="29" t="s">
        <v>22</v>
      </c>
      <c r="EE7" s="29" t="s">
        <v>23</v>
      </c>
      <c r="EG7" s="29" t="s">
        <v>39</v>
      </c>
      <c r="EH7" s="29">
        <v>5</v>
      </c>
      <c r="EI7" s="29">
        <v>90.9</v>
      </c>
      <c r="EJ7" s="29">
        <v>65</v>
      </c>
      <c r="EK7" s="29">
        <v>51.6</v>
      </c>
      <c r="EL7" s="29">
        <v>33.200000000000003</v>
      </c>
      <c r="EM7" s="29">
        <v>25.1</v>
      </c>
      <c r="EN7" s="29">
        <v>20.5</v>
      </c>
      <c r="EO7" s="29">
        <v>12.4</v>
      </c>
      <c r="EP7" s="29">
        <v>7.4</v>
      </c>
      <c r="EQ7" s="29">
        <v>4</v>
      </c>
      <c r="EU7" s="29">
        <f>EU6</f>
        <v>0.5</v>
      </c>
      <c r="EV7" s="29">
        <f>EV6*2</f>
        <v>0.37866666666666665</v>
      </c>
      <c r="EW7" s="29">
        <f>($EX$6)*SIN(FG29)+($EX$6)</f>
        <v>0.28400000000000003</v>
      </c>
      <c r="EX7" s="29">
        <f>($EX$6)*COS(FG29)+$EX$6</f>
        <v>0.14200000000000002</v>
      </c>
      <c r="EZ7" s="29">
        <v>30</v>
      </c>
      <c r="FA7" s="50">
        <f t="shared" si="1"/>
        <v>0.3974634110060854</v>
      </c>
      <c r="FB7" s="50">
        <f>(FB$4*SIN(EZ7*PI()/180)+$CJ$11)/2</f>
        <v>0.42599999999999993</v>
      </c>
      <c r="FC7" s="29">
        <v>30</v>
      </c>
      <c r="FD7" s="50">
        <f t="shared" si="2"/>
        <v>0.35330080978318701</v>
      </c>
      <c r="FE7" s="50">
        <f>(FE$4*SIN(FC7*PI()/180)+$CJ$11)/2</f>
        <v>0.42599999999999993</v>
      </c>
      <c r="FF7" s="29">
        <v>3</v>
      </c>
      <c r="FG7" s="29">
        <f t="shared" si="0"/>
        <v>0.18849555921538758</v>
      </c>
      <c r="FH7" s="29">
        <f>($P$20/2000)*SIN(FG7)+($P$20/2000)</f>
        <v>0.29684532864643115</v>
      </c>
      <c r="FI7" s="29">
        <f>($P$20/2000)*COS(FG7)+$P$20/2000</f>
        <v>0.49557181268217221</v>
      </c>
      <c r="FJ7" s="50"/>
      <c r="FL7" s="29">
        <f>IF($P$19="Hexagon",EU7,IF(OR($P$19="Kerbdrain150",$P$19="Kerbdrain280"),FA7,IF(OR($P$19="Channel100",$P$19="Channel150",$P$19="Channel200",$P$19="Channel430"),EW7,IF(AND($P$19="Oval",$CJ$11=0.15),FH7,IF(AND($P$19="Oval",$CJ$11=0.225),FH7,IF(AND($P$19="Oval",$CJ$11=0.35),FH7,IF(AND($P$19="Oval",$CJ$11=0.55),FH7,IF(AND($P$19="Oval",$CJ$11=0.7),FD7,IF(AND($P$19="Oval",$CJ$11=0.9),FD7,"")))))))))</f>
        <v>0.5</v>
      </c>
      <c r="FM7" s="29">
        <f>IF($P$19="Hexagon",EV7,IF(OR($P$19="Kerbdrain150",$P$19="Kerbdrain280"),FB7,IF(OR($P$19="Channel100",$P$19="Channel150",$P$19="Channel200",$P$19="Channel430"),EX7,IF(AND($P$19="Oval",$CJ$11=0.15),FI7,IF(AND($P$19="Oval",$CJ$11=0.225),FI7,IF(AND($P$19="Oval",$CJ$11=0.35),FI7,IF(AND($P$19="Oval",$CJ$11=0.55),FI7,IF(AND($P$19="Oval",$CJ$11=0.7),FE7,IF(AND($P$19="Oval",$CJ$11=0.9),FE7,"")))))))))</f>
        <v>0.37866666666666665</v>
      </c>
      <c r="FP7" s="29">
        <f>IF(MAX(FL$5:FM$104)&lt;0.5,FL7*2,FL7)</f>
        <v>0.5</v>
      </c>
      <c r="FQ7" s="29">
        <f>IF(MAX(FL$5:FM$104)&lt;0.5,FM7*2,FM7)</f>
        <v>0.37866666666666665</v>
      </c>
      <c r="FT7" s="29">
        <f>IF(AND(FP7=0,FQ7=0),FT6,FP7+(0.5*(1-MAX(FP$5:FP$104))))</f>
        <v>0.75</v>
      </c>
      <c r="FU7" s="29">
        <f>IF(AND(FP7=0,FQ7=0),FU6,FQ7+(0.5*(1-MAX(FQ$5:FQ$104))))</f>
        <v>0.59466666666666668</v>
      </c>
      <c r="FZ7" s="51">
        <f>FZ6</f>
        <v>0.5</v>
      </c>
      <c r="GA7" s="51">
        <f>GA6*2</f>
        <v>0.37866666666666665</v>
      </c>
      <c r="GB7" s="51">
        <f>($GC$6)*SIN(GL29)+($GC$6)</f>
        <v>0.28400000000000003</v>
      </c>
      <c r="GC7" s="51">
        <f>($GC$6)*COS(GL29)+$GC$6</f>
        <v>0.14200000000000002</v>
      </c>
      <c r="GE7" s="51">
        <v>30</v>
      </c>
      <c r="GF7" s="52">
        <f t="shared" si="3"/>
        <v>0.3974634110060854</v>
      </c>
      <c r="GG7" s="52">
        <f>(GG$4*SIN(GE7*PI()/180)+$CL$11)/2</f>
        <v>0.42599999999999993</v>
      </c>
      <c r="GH7" s="51">
        <v>30</v>
      </c>
      <c r="GI7" s="52">
        <f t="shared" si="4"/>
        <v>0.35330080978318701</v>
      </c>
      <c r="GJ7" s="52">
        <f>(GJ$4*SIN(GH7*PI()/180)+$CL$11)/2</f>
        <v>0.42599999999999993</v>
      </c>
      <c r="GK7" s="51">
        <v>3</v>
      </c>
      <c r="GL7" s="51">
        <f t="shared" si="5"/>
        <v>0.18849555921538758</v>
      </c>
      <c r="GM7" s="51">
        <f>($M$66/2000)*SIN(GL7)+($M$66/2000)</f>
        <v>0.29684532864643115</v>
      </c>
      <c r="GN7" s="51">
        <f>($M$66/2000)*COS(GL7)+$M$66/2000</f>
        <v>0.49557181268217221</v>
      </c>
      <c r="GO7" s="52"/>
      <c r="GQ7" s="51">
        <f>IF($M$65="Hexagon",FZ7,IF(OR($M$65="Kerbdrain150",$M$65="Kerbdrain280"),GF7,IF(OR($M$65="Channel100",$M$65="Channel150",$M$65="Channel200",$M$65="Channel430"),GB7,IF(AND($M$65="Oval",$CL$11=0.15),GM7,IF(AND($M$65="Oval",$CL$11=0.225),GM7,IF(AND($M$65="Oval",$CL$11=0.35),GM7,IF(AND($M$65="Oval",$CL$11=0.55),GM7,IF(AND($M$65="Oval",$CL$11=0.7),GI7,IF(AND($M$65="Oval",$CL$11=0.9),GI7,"")))))))))</f>
        <v>0.5</v>
      </c>
      <c r="GR7" s="51">
        <f>IF($M$65="Hexagon",GA7,IF(OR($M$65="Kerbdrain150",$M$65="Kerbdrain280"),GG7,IF(OR($M$65="Channel100",$M$65="Channel150",$M$65="Channel200",$M$65="Channel430"),GC7,IF(AND($M$65="Oval",$CL$11=0.15),GN7,IF(AND($M$65="Oval",$CL$11=0.225),GN7,IF(AND($M$65="Oval",$CL$11=0.35),GN7,IF(AND($M$65="Oval",$CL$11=0.55),GN7,IF(AND($M$65="Oval",$CL$11=0.7),GJ7,IF(AND($M$65="Oval",$CL$11=0.9),GJ7,"")))))))))</f>
        <v>0.37866666666666665</v>
      </c>
      <c r="GU7" s="51">
        <f>IF(MAX(GQ$5:GR$104)&lt;0.5,GQ7*2,GQ7)</f>
        <v>0.5</v>
      </c>
      <c r="GV7" s="51">
        <f>IF(MAX(GQ$5:GR$104)&lt;0.5,GR7*2,GR7)</f>
        <v>0.37866666666666665</v>
      </c>
      <c r="GY7" s="51">
        <f>IF(AND(GU7=0,GV7=0),GY6,GU7+(0.5*(1-MAX(GU$5:GU$104))))</f>
        <v>0.75</v>
      </c>
      <c r="GZ7" s="51">
        <f>IF(AND(GU7=0,GV7=0),GZ6,GV7+(0.5*(1-MAX(GV$5:GV$104))))</f>
        <v>0.59466666666666668</v>
      </c>
    </row>
    <row r="8" spans="2:211" ht="15.75" thickBot="1">
      <c r="B8" s="9"/>
      <c r="C8" s="10"/>
      <c r="D8" s="10"/>
      <c r="E8" s="10"/>
      <c r="F8" s="11"/>
      <c r="G8" s="70"/>
      <c r="H8" s="183" t="s">
        <v>12</v>
      </c>
      <c r="I8" s="174"/>
      <c r="J8" s="174"/>
      <c r="K8" s="174"/>
      <c r="L8" s="174"/>
      <c r="M8" s="174"/>
      <c r="N8" s="174"/>
      <c r="O8" s="174"/>
      <c r="P8" s="174"/>
      <c r="Q8" s="174"/>
      <c r="R8" s="174"/>
      <c r="S8" s="174"/>
      <c r="T8" s="174"/>
      <c r="U8" s="174"/>
      <c r="V8" s="174"/>
      <c r="W8" s="174"/>
      <c r="X8" s="174"/>
      <c r="Y8" s="185">
        <v>20000</v>
      </c>
      <c r="Z8" s="186"/>
      <c r="AA8" s="187"/>
      <c r="AB8" s="179" t="s">
        <v>13</v>
      </c>
      <c r="AC8" s="174"/>
      <c r="AD8" s="175"/>
      <c r="AE8" s="67"/>
      <c r="AF8" s="42"/>
      <c r="AG8" s="41"/>
      <c r="AH8" s="41"/>
      <c r="AI8" s="41"/>
      <c r="AJ8" s="4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M8" s="29">
        <v>300</v>
      </c>
      <c r="CN8" s="29">
        <v>0.33800000000000002</v>
      </c>
      <c r="CO8" s="29">
        <v>7.7676999999999996E-2</v>
      </c>
      <c r="CQ8" s="50">
        <v>300</v>
      </c>
      <c r="CR8" s="50">
        <v>350</v>
      </c>
      <c r="CS8" s="50">
        <v>230</v>
      </c>
      <c r="CT8" s="50">
        <v>280</v>
      </c>
      <c r="CU8" s="50">
        <v>290</v>
      </c>
      <c r="CV8" s="50">
        <v>275</v>
      </c>
      <c r="CW8" s="50">
        <v>235</v>
      </c>
      <c r="CX8" s="50">
        <v>275</v>
      </c>
      <c r="DY8" s="50"/>
      <c r="ED8" s="29" t="s">
        <v>24</v>
      </c>
      <c r="EE8" s="29" t="s">
        <v>25</v>
      </c>
      <c r="EG8" s="29">
        <v>0.4</v>
      </c>
      <c r="EH8" s="29">
        <v>10</v>
      </c>
      <c r="EI8" s="29">
        <v>104.2</v>
      </c>
      <c r="EJ8" s="29">
        <v>75.3</v>
      </c>
      <c r="EK8" s="29">
        <v>59.9</v>
      </c>
      <c r="EL8" s="29">
        <v>38.700000000000003</v>
      </c>
      <c r="EM8" s="29">
        <v>29.4</v>
      </c>
      <c r="EN8" s="29">
        <v>24</v>
      </c>
      <c r="EO8" s="29">
        <v>14.5</v>
      </c>
      <c r="EP8" s="29">
        <v>8.6</v>
      </c>
      <c r="EQ8" s="29">
        <v>5</v>
      </c>
      <c r="EU8" s="29">
        <f>EU5</f>
        <v>0.25</v>
      </c>
      <c r="EV8" s="29">
        <f>$CJ$11</f>
        <v>0.56799999999999995</v>
      </c>
      <c r="EW8" s="29">
        <f>($EX$6)*SIN(FG30)+($EX$6)</f>
        <v>0.28371979543681458</v>
      </c>
      <c r="EX8" s="29">
        <f>($EX$6)*COS(FG30)+$EX$6</f>
        <v>0.13308374622683752</v>
      </c>
      <c r="EZ8" s="29">
        <v>45</v>
      </c>
      <c r="FA8" s="50">
        <f t="shared" si="1"/>
        <v>0.36361374439273458</v>
      </c>
      <c r="FB8" s="50">
        <f>(FB$4*SIN(EZ8*PI()/180)+$CJ$11)/2</f>
        <v>0.48481832585697943</v>
      </c>
      <c r="FC8" s="29">
        <v>45</v>
      </c>
      <c r="FD8" s="50">
        <f t="shared" si="2"/>
        <v>0.32321221723798632</v>
      </c>
      <c r="FE8" s="50">
        <f>(FE$4*SIN(FC8*PI()/180)+$CJ$11)/2</f>
        <v>0.48481832585697943</v>
      </c>
      <c r="FF8" s="29">
        <v>4</v>
      </c>
      <c r="FG8" s="29">
        <f t="shared" si="0"/>
        <v>0.25132741228718347</v>
      </c>
      <c r="FH8" s="29">
        <f>($P$20/2000)*SIN(FG8)+($P$20/2000)</f>
        <v>0.31217247179121371</v>
      </c>
      <c r="FI8" s="29">
        <f>($P$20/2000)*COS(FG8)+$P$20/2000</f>
        <v>0.49214579028215777</v>
      </c>
      <c r="FJ8" s="50"/>
      <c r="FL8" s="29">
        <f>IF($P$19="Hexagon",EU8,IF(OR($P$19="Kerbdrain150",$P$19="Kerbdrain280"),FA8,IF(OR($P$19="Channel100",$P$19="Channel150",$P$19="Channel200",$P$19="Channel430"),EW8,IF(AND($P$19="Oval",$CJ$11=0.15),FH8,IF(AND($P$19="Oval",$CJ$11=0.225),FH8,IF(AND($P$19="Oval",$CJ$11=0.35),FH8,IF(AND($P$19="Oval",$CJ$11=0.55),FH8,IF(AND($P$19="Oval",$CJ$11=0.7),FD8,IF(AND($P$19="Oval",$CJ$11=0.9),FD8,"")))))))))</f>
        <v>0.25</v>
      </c>
      <c r="FM8" s="29">
        <f>IF($P$19="Hexagon",EV8,IF(OR($P$19="Kerbdrain150",$P$19="Kerbdrain280"),FB8,IF(OR($P$19="Channel100",$P$19="Channel150",$P$19="Channel200",$P$19="Channel430"),EX8,IF(AND($P$19="Oval",$CJ$11=0.15),FI8,IF(AND($P$19="Oval",$CJ$11=0.225),FI8,IF(AND($P$19="Oval",$CJ$11=0.35),FI8,IF(AND($P$19="Oval",$CJ$11=0.55),FI8,IF(AND($P$19="Oval",$CJ$11=0.7),FE8,IF(AND($P$19="Oval",$CJ$11=0.9),FE8,"")))))))))</f>
        <v>0.56799999999999995</v>
      </c>
      <c r="FP8" s="29">
        <f>IF(MAX(FL$5:FM$104)&lt;0.5,FL8*2,FL8)</f>
        <v>0.25</v>
      </c>
      <c r="FQ8" s="29">
        <f>IF(MAX(FL$5:FM$104)&lt;0.5,FM8*2,FM8)</f>
        <v>0.56799999999999995</v>
      </c>
      <c r="FT8" s="29">
        <f>IF(AND(FP8=0,FQ8=0),FT7,FP8+(0.5*(1-MAX(FP$5:FP$104))))</f>
        <v>0.5</v>
      </c>
      <c r="FU8" s="29">
        <f>IF(AND(FP8=0,FQ8=0),FU7,FQ8+(0.5*(1-MAX(FQ$5:FQ$104))))</f>
        <v>0.78400000000000003</v>
      </c>
      <c r="FW8" s="29">
        <v>-0.1</v>
      </c>
      <c r="FX8" s="29">
        <f>MIN(FU5:FU104)</f>
        <v>0.21600000000000003</v>
      </c>
      <c r="FZ8" s="51">
        <f>FZ5</f>
        <v>0.25</v>
      </c>
      <c r="GA8" s="51">
        <f>$CL$11</f>
        <v>0.56799999999999995</v>
      </c>
      <c r="GB8" s="51">
        <f>($GC$6)*SIN(GL30)+($GC$6)</f>
        <v>0.28371979543681458</v>
      </c>
      <c r="GC8" s="51">
        <f>($GC$6)*COS(GL30)+$GC$6</f>
        <v>0.13308374622683752</v>
      </c>
      <c r="GE8" s="51">
        <v>45</v>
      </c>
      <c r="GF8" s="52">
        <f t="shared" si="3"/>
        <v>0.36361374439273458</v>
      </c>
      <c r="GG8" s="52">
        <f>(GG$4*SIN(GE8*PI()/180)+$CL$11)/2</f>
        <v>0.48481832585697943</v>
      </c>
      <c r="GH8" s="51">
        <v>45</v>
      </c>
      <c r="GI8" s="52">
        <f t="shared" si="4"/>
        <v>0.32321221723798632</v>
      </c>
      <c r="GJ8" s="52">
        <f>(GJ$4*SIN(GH8*PI()/180)+$CL$11)/2</f>
        <v>0.48481832585697943</v>
      </c>
      <c r="GK8" s="51">
        <v>4</v>
      </c>
      <c r="GL8" s="51">
        <f t="shared" si="5"/>
        <v>0.25132741228718347</v>
      </c>
      <c r="GM8" s="51">
        <f>($M$66/2000)*SIN(GL8)+($M$66/2000)</f>
        <v>0.31217247179121371</v>
      </c>
      <c r="GN8" s="51">
        <f>($M$66/2000)*COS(GL8)+$M$66/2000</f>
        <v>0.49214579028215777</v>
      </c>
      <c r="GO8" s="52"/>
      <c r="GQ8" s="51">
        <f>IF($M$65="Hexagon",FZ8,IF(OR($M$65="Kerbdrain150",$M$65="Kerbdrain280"),GF8,IF(OR($M$65="Channel100",$M$65="Channel150",$M$65="Channel200",$M$65="Channel430"),GB8,IF(AND($M$65="Oval",$CL$11=0.15),GM8,IF(AND($M$65="Oval",$CL$11=0.225),GM8,IF(AND($M$65="Oval",$CL$11=0.35),GM8,IF(AND($M$65="Oval",$CL$11=0.55),GM8,IF(AND($M$65="Oval",$CL$11=0.7),GI8,IF(AND($M$65="Oval",$CL$11=0.9),GI8,"")))))))))</f>
        <v>0.25</v>
      </c>
      <c r="GR8" s="51">
        <f>IF($M$65="Hexagon",GA8,IF(OR($M$65="Kerbdrain150",$M$65="Kerbdrain280"),GG8,IF(OR($M$65="Channel100",$M$65="Channel150",$M$65="Channel200",$M$65="Channel430"),GC8,IF(AND($M$65="Oval",$CL$11=0.15),GN8,IF(AND($M$65="Oval",$CL$11=0.225),GN8,IF(AND($M$65="Oval",$CL$11=0.35),GN8,IF(AND($M$65="Oval",$CL$11=0.55),GN8,IF(AND($M$65="Oval",$CL$11=0.7),GJ8,IF(AND($M$65="Oval",$CL$11=0.9),GJ8,"")))))))))</f>
        <v>0.56799999999999995</v>
      </c>
      <c r="GU8" s="51">
        <f>IF(MAX(GQ$5:GR$104)&lt;0.5,GQ8*2,GQ8)</f>
        <v>0.25</v>
      </c>
      <c r="GV8" s="51">
        <f>IF(MAX(GQ$5:GR$104)&lt;0.5,GR8*2,GR8)</f>
        <v>0.56799999999999995</v>
      </c>
      <c r="GY8" s="51">
        <f>IF(AND(GU8=0,GV8=0),GY7,GU8+(0.5*(1-MAX(GU$5:GU$104))))</f>
        <v>0.5</v>
      </c>
      <c r="GZ8" s="51">
        <f>IF(AND(GU8=0,GV8=0),GZ7,GV8+(0.5*(1-MAX(GV$5:GV$104))))</f>
        <v>0.78400000000000003</v>
      </c>
      <c r="HB8" s="51">
        <v>-0.1</v>
      </c>
      <c r="HC8" s="51">
        <f>MIN(GZ5:GZ104)</f>
        <v>0.21600000000000003</v>
      </c>
    </row>
    <row r="9" spans="2:211" ht="15.75" thickBot="1">
      <c r="B9" s="9"/>
      <c r="C9" s="10"/>
      <c r="D9" s="10"/>
      <c r="E9" s="10"/>
      <c r="F9" s="11"/>
      <c r="G9" s="70"/>
      <c r="H9" s="171" t="s">
        <v>14</v>
      </c>
      <c r="I9" s="172"/>
      <c r="J9" s="172"/>
      <c r="K9" s="172"/>
      <c r="L9" s="172"/>
      <c r="M9" s="172"/>
      <c r="N9" s="172"/>
      <c r="O9" s="172"/>
      <c r="P9" s="172"/>
      <c r="Q9" s="172"/>
      <c r="R9" s="172"/>
      <c r="S9" s="172"/>
      <c r="T9" s="172"/>
      <c r="U9" s="172"/>
      <c r="V9" s="172"/>
      <c r="W9" s="172"/>
      <c r="X9" s="172"/>
      <c r="Y9" s="279">
        <v>0.85</v>
      </c>
      <c r="Z9" s="280"/>
      <c r="AA9" s="281"/>
      <c r="AB9" s="180"/>
      <c r="AC9" s="174"/>
      <c r="AD9" s="175"/>
      <c r="AE9" s="67"/>
      <c r="AF9" s="42"/>
      <c r="AG9" s="41"/>
      <c r="AH9" s="41"/>
      <c r="AI9" s="41"/>
      <c r="AJ9" s="4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I9" s="53" t="s">
        <v>69</v>
      </c>
      <c r="CJ9" s="49" t="s">
        <v>55</v>
      </c>
      <c r="CM9" s="29">
        <v>400</v>
      </c>
      <c r="CN9" s="29">
        <v>0.45200000000000001</v>
      </c>
      <c r="CO9" s="29">
        <v>0.138296</v>
      </c>
      <c r="CQ9" s="50">
        <v>400</v>
      </c>
      <c r="CR9" s="50">
        <v>550</v>
      </c>
      <c r="CS9" s="50">
        <v>280</v>
      </c>
      <c r="CT9" s="50">
        <v>330</v>
      </c>
      <c r="CU9" s="50">
        <v>315</v>
      </c>
      <c r="CV9" s="50">
        <v>555</v>
      </c>
      <c r="CW9" s="50">
        <v>285</v>
      </c>
      <c r="CX9" s="50">
        <v>555</v>
      </c>
      <c r="DY9" s="50"/>
      <c r="ED9" s="29" t="s">
        <v>26</v>
      </c>
      <c r="EE9" s="29" t="s">
        <v>27</v>
      </c>
      <c r="EG9" s="29"/>
      <c r="EH9" s="29">
        <v>15</v>
      </c>
      <c r="EI9" s="29">
        <v>112.8</v>
      </c>
      <c r="EJ9" s="29">
        <v>82</v>
      </c>
      <c r="EK9" s="29">
        <v>65.400000000000006</v>
      </c>
      <c r="EL9" s="29">
        <v>42.4</v>
      </c>
      <c r="EM9" s="29">
        <v>32.200000000000003</v>
      </c>
      <c r="EN9" s="29">
        <v>26.3</v>
      </c>
      <c r="EO9" s="29">
        <v>15.9</v>
      </c>
      <c r="EP9" s="29">
        <v>9.4</v>
      </c>
      <c r="EQ9" s="29">
        <v>6</v>
      </c>
      <c r="EU9" s="29">
        <v>0</v>
      </c>
      <c r="EV9" s="29">
        <f>EV7</f>
        <v>0.37866666666666665</v>
      </c>
      <c r="EW9" s="29">
        <f>($EX$6)*SIN(FG31)+($EX$6)</f>
        <v>0.28288028758665584</v>
      </c>
      <c r="EX9" s="29">
        <f>($EX$6)*COS(FG31)+$EX$6</f>
        <v>0.12420268083386879</v>
      </c>
      <c r="EZ9" s="29">
        <v>60</v>
      </c>
      <c r="FA9" s="50">
        <f t="shared" si="1"/>
        <v>0.31950000000000001</v>
      </c>
      <c r="FB9" s="50">
        <f>(FB$4*SIN(EZ9*PI()/180)+$CJ$11)/2</f>
        <v>0.52995121467478046</v>
      </c>
      <c r="FC9" s="29">
        <v>60</v>
      </c>
      <c r="FD9" s="50">
        <f t="shared" si="2"/>
        <v>0.28400000000000003</v>
      </c>
      <c r="FE9" s="50">
        <f>(FE$4*SIN(FC9*PI()/180)+$CJ$11)/2</f>
        <v>0.52995121467478046</v>
      </c>
      <c r="FF9" s="29">
        <v>5</v>
      </c>
      <c r="FG9" s="29">
        <f t="shared" si="0"/>
        <v>0.31415926535897931</v>
      </c>
      <c r="FH9" s="29">
        <f>($P$20/2000)*SIN(FG9)+($P$20/2000)</f>
        <v>0.32725424859373686</v>
      </c>
      <c r="FI9" s="29">
        <f>($P$20/2000)*COS(FG9)+$P$20/2000</f>
        <v>0.48776412907378841</v>
      </c>
      <c r="FJ9" s="50"/>
      <c r="FL9" s="29">
        <f>IF($P$19="Hexagon",EU9,IF(OR($P$19="Kerbdrain150",$P$19="Kerbdrain280"),FA9,IF(OR($P$19="Channel100",$P$19="Channel150",$P$19="Channel200",$P$19="Channel430"),EW9,IF(AND($P$19="Oval",$CJ$11=0.15),FH9,IF(AND($P$19="Oval",$CJ$11=0.225),FH9,IF(AND($P$19="Oval",$CJ$11=0.35),FH9,IF(AND($P$19="Oval",$CJ$11=0.55),FH9,IF(AND($P$19="Oval",$CJ$11=0.7),FD9,IF(AND($P$19="Oval",$CJ$11=0.9),FD9,"")))))))))</f>
        <v>0</v>
      </c>
      <c r="FM9" s="29">
        <f>IF($P$19="Hexagon",EV9,IF(OR($P$19="Kerbdrain150",$P$19="Kerbdrain280"),FB9,IF(OR($P$19="Channel100",$P$19="Channel150",$P$19="Channel200",$P$19="Channel430"),EX9,IF(AND($P$19="Oval",$CJ$11=0.15),FI9,IF(AND($P$19="Oval",$CJ$11=0.225),FI9,IF(AND($P$19="Oval",$CJ$11=0.35),FI9,IF(AND($P$19="Oval",$CJ$11=0.55),FI9,IF(AND($P$19="Oval",$CJ$11=0.7),FE9,IF(AND($P$19="Oval",$CJ$11=0.9),FE9,"")))))))))</f>
        <v>0.37866666666666665</v>
      </c>
      <c r="FP9" s="29">
        <f>IF(MAX(FL$5:FM$104)&lt;0.5,FL9*2,FL9)</f>
        <v>0</v>
      </c>
      <c r="FQ9" s="29">
        <f>IF(MAX(FL$5:FM$104)&lt;0.5,FM9*2,FM9)</f>
        <v>0.37866666666666665</v>
      </c>
      <c r="FT9" s="29">
        <f>IF(AND(FP9=0,FQ9=0),FT8,FP9+(0.5*(1-MAX(FP$5:FP$104))))</f>
        <v>0.25</v>
      </c>
      <c r="FU9" s="29">
        <f>IF(AND(FP9=0,FQ9=0),FU8,FQ9+(0.5*(1-MAX(FQ$5:FQ$104))))</f>
        <v>0.59466666666666668</v>
      </c>
      <c r="FW9" s="29">
        <v>-0.1</v>
      </c>
      <c r="FX9" s="29">
        <f>MAX(FU5:FU104)</f>
        <v>0.78400000000000003</v>
      </c>
      <c r="FZ9" s="51">
        <v>0</v>
      </c>
      <c r="GA9" s="51">
        <f>GA7</f>
        <v>0.37866666666666665</v>
      </c>
      <c r="GB9" s="51">
        <f>($GC$6)*SIN(GL31)+($GC$6)</f>
        <v>0.28288028758665584</v>
      </c>
      <c r="GC9" s="51">
        <f>($GC$6)*COS(GL31)+$GC$6</f>
        <v>0.12420268083386879</v>
      </c>
      <c r="GE9" s="51">
        <v>60</v>
      </c>
      <c r="GF9" s="52">
        <f t="shared" si="3"/>
        <v>0.31950000000000001</v>
      </c>
      <c r="GG9" s="52">
        <f>(GG$4*SIN(GE9*PI()/180)+$CL$11)/2</f>
        <v>0.52995121467478046</v>
      </c>
      <c r="GH9" s="51">
        <v>60</v>
      </c>
      <c r="GI9" s="52">
        <f t="shared" si="4"/>
        <v>0.28400000000000003</v>
      </c>
      <c r="GJ9" s="52">
        <f>(GJ$4*SIN(GH9*PI()/180)+$CL$11)/2</f>
        <v>0.52995121467478046</v>
      </c>
      <c r="GK9" s="51">
        <v>5</v>
      </c>
      <c r="GL9" s="51">
        <f t="shared" si="5"/>
        <v>0.31415926535897931</v>
      </c>
      <c r="GM9" s="51">
        <f>($M$66/2000)*SIN(GL9)+($M$66/2000)</f>
        <v>0.32725424859373686</v>
      </c>
      <c r="GN9" s="51">
        <f>($M$66/2000)*COS(GL9)+$M$66/2000</f>
        <v>0.48776412907378841</v>
      </c>
      <c r="GO9" s="52"/>
      <c r="GQ9" s="51">
        <f>IF($M$65="Hexagon",FZ9,IF(OR($M$65="Kerbdrain150",$M$65="Kerbdrain280"),GF9,IF(OR($M$65="Channel100",$M$65="Channel150",$M$65="Channel200",$M$65="Channel430"),GB9,IF(AND($M$65="Oval",$CL$11=0.15),GM9,IF(AND($M$65="Oval",$CL$11=0.225),GM9,IF(AND($M$65="Oval",$CL$11=0.35),GM9,IF(AND($M$65="Oval",$CL$11=0.55),GM9,IF(AND($M$65="Oval",$CL$11=0.7),GI9,IF(AND($M$65="Oval",$CL$11=0.9),GI9,"")))))))))</f>
        <v>0</v>
      </c>
      <c r="GR9" s="51">
        <f>IF($M$65="Hexagon",GA9,IF(OR($M$65="Kerbdrain150",$M$65="Kerbdrain280"),GG9,IF(OR($M$65="Channel100",$M$65="Channel150",$M$65="Channel200",$M$65="Channel430"),GC9,IF(AND($M$65="Oval",$CL$11=0.15),GN9,IF(AND($M$65="Oval",$CL$11=0.225),GN9,IF(AND($M$65="Oval",$CL$11=0.35),GN9,IF(AND($M$65="Oval",$CL$11=0.55),GN9,IF(AND($M$65="Oval",$CL$11=0.7),GJ9,IF(AND($M$65="Oval",$CL$11=0.9),GJ9,"")))))))))</f>
        <v>0.37866666666666665</v>
      </c>
      <c r="GU9" s="51">
        <f>IF(MAX(GQ$5:GR$104)&lt;0.5,GQ9*2,GQ9)</f>
        <v>0</v>
      </c>
      <c r="GV9" s="51">
        <f>IF(MAX(GQ$5:GR$104)&lt;0.5,GR9*2,GR9)</f>
        <v>0.37866666666666665</v>
      </c>
      <c r="GY9" s="51">
        <f>IF(AND(GU9=0,GV9=0),GY8,GU9+(0.5*(1-MAX(GU$5:GU$104))))</f>
        <v>0.25</v>
      </c>
      <c r="GZ9" s="51">
        <f>IF(AND(GU9=0,GV9=0),GZ8,GV9+(0.5*(1-MAX(GV$5:GV$104))))</f>
        <v>0.59466666666666668</v>
      </c>
      <c r="HB9" s="51">
        <v>-0.1</v>
      </c>
      <c r="HC9" s="51">
        <f>MAX(GZ5:GZ104)</f>
        <v>0.78400000000000003</v>
      </c>
    </row>
    <row r="10" spans="2:211" ht="15.75" thickBot="1">
      <c r="B10" s="9"/>
      <c r="C10" s="10"/>
      <c r="D10" s="10"/>
      <c r="E10" s="10"/>
      <c r="F10" s="11"/>
      <c r="G10" s="70"/>
      <c r="H10" s="71" t="s">
        <v>137</v>
      </c>
      <c r="I10" s="184"/>
      <c r="J10" s="184"/>
      <c r="K10" s="184"/>
      <c r="L10" s="184"/>
      <c r="M10" s="184"/>
      <c r="N10" s="184"/>
      <c r="O10" s="184"/>
      <c r="P10" s="184"/>
      <c r="Q10" s="184"/>
      <c r="R10" s="184"/>
      <c r="S10" s="184"/>
      <c r="T10" s="184"/>
      <c r="U10" s="184"/>
      <c r="V10" s="184"/>
      <c r="W10" s="184"/>
      <c r="X10" s="184"/>
      <c r="Y10" s="279">
        <v>65</v>
      </c>
      <c r="Z10" s="280"/>
      <c r="AA10" s="281"/>
      <c r="AB10" s="94" t="s">
        <v>52</v>
      </c>
      <c r="AC10" s="209"/>
      <c r="AD10" s="210"/>
      <c r="AE10" s="67"/>
      <c r="AF10" s="42"/>
      <c r="AG10" s="41"/>
      <c r="AH10" s="41"/>
      <c r="AI10" s="41"/>
      <c r="AJ10" s="4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I10" s="53" t="s">
        <v>70</v>
      </c>
      <c r="CJ10" s="49">
        <v>275</v>
      </c>
      <c r="CK10" s="29" t="s">
        <v>71</v>
      </c>
      <c r="CM10" s="29">
        <v>500</v>
      </c>
      <c r="CN10" s="29">
        <v>0.56799999999999995</v>
      </c>
      <c r="CO10" s="29">
        <v>0.21649299999999999</v>
      </c>
      <c r="CQ10" s="50">
        <v>500</v>
      </c>
      <c r="CR10" s="50">
        <v>700</v>
      </c>
      <c r="CS10" s="50">
        <v>330</v>
      </c>
      <c r="CT10" s="50">
        <v>380</v>
      </c>
      <c r="CU10" s="50" t="s">
        <v>72</v>
      </c>
      <c r="CV10" s="50" t="s">
        <v>72</v>
      </c>
      <c r="CW10" s="50" t="s">
        <v>72</v>
      </c>
      <c r="CX10" s="50" t="s">
        <v>72</v>
      </c>
      <c r="DY10" s="50"/>
      <c r="ED10" s="29" t="s">
        <v>28</v>
      </c>
      <c r="EE10" s="29" t="s">
        <v>29</v>
      </c>
      <c r="EG10" s="29"/>
      <c r="EH10" s="29">
        <v>20</v>
      </c>
      <c r="EI10" s="29">
        <v>119.4</v>
      </c>
      <c r="EJ10" s="29">
        <v>87.1</v>
      </c>
      <c r="EK10" s="29">
        <v>69.599999999999994</v>
      </c>
      <c r="EL10" s="29">
        <v>45.2</v>
      </c>
      <c r="EM10" s="29">
        <v>34.4</v>
      </c>
      <c r="EN10" s="29">
        <v>28.1</v>
      </c>
      <c r="EO10" s="29">
        <v>17</v>
      </c>
      <c r="EP10" s="29">
        <v>10.1</v>
      </c>
      <c r="EQ10" s="29">
        <v>6</v>
      </c>
      <c r="EU10" s="29">
        <v>0</v>
      </c>
      <c r="EV10" s="29">
        <f>EV6</f>
        <v>0.18933333333333333</v>
      </c>
      <c r="EW10" s="29">
        <f>($EX$6)*SIN(FG32)+($EX$6)</f>
        <v>0.28148478960347378</v>
      </c>
      <c r="EX10" s="29">
        <f>($EX$6)*COS(FG32)+$EX$6</f>
        <v>0.11539185332882709</v>
      </c>
      <c r="EZ10" s="29">
        <v>75</v>
      </c>
      <c r="FA10" s="50">
        <f t="shared" si="1"/>
        <v>0.26812845660683687</v>
      </c>
      <c r="FB10" s="50">
        <f>(FB$4*SIN(EZ10*PI()/180)+$CJ$11)/2</f>
        <v>0.55832293466609539</v>
      </c>
      <c r="FC10" s="29">
        <v>75</v>
      </c>
      <c r="FD10" s="50">
        <f t="shared" si="2"/>
        <v>0.23833640587274391</v>
      </c>
      <c r="FE10" s="50">
        <f>(FE$4*SIN(FC10*PI()/180)+$CJ$11)/2</f>
        <v>0.55832293466609539</v>
      </c>
      <c r="FF10" s="29">
        <v>6</v>
      </c>
      <c r="FG10" s="29">
        <f t="shared" si="0"/>
        <v>0.37699111843077515</v>
      </c>
      <c r="FH10" s="29">
        <f>($P$20/2000)*SIN(FG10)+($P$20/2000)</f>
        <v>0.34203113817116948</v>
      </c>
      <c r="FI10" s="29">
        <f>($P$20/2000)*COS(FG10)+$P$20/2000</f>
        <v>0.48244412147206284</v>
      </c>
      <c r="FJ10" s="50"/>
      <c r="FL10" s="29">
        <f>IF($P$19="Hexagon",EU10,IF(OR($P$19="Kerbdrain150",$P$19="Kerbdrain280"),FA10,IF(OR($P$19="Channel100",$P$19="Channel150",$P$19="Channel200",$P$19="Channel430"),EW10,IF(AND($P$19="Oval",$CJ$11=0.15),FH10,IF(AND($P$19="Oval",$CJ$11=0.225),FH10,IF(AND($P$19="Oval",$CJ$11=0.35),FH10,IF(AND($P$19="Oval",$CJ$11=0.55),FH10,IF(AND($P$19="Oval",$CJ$11=0.7),FD10,IF(AND($P$19="Oval",$CJ$11=0.9),FD10,"")))))))))</f>
        <v>0</v>
      </c>
      <c r="FM10" s="29">
        <f>IF($P$19="Hexagon",EV10,IF(OR($P$19="Kerbdrain150",$P$19="Kerbdrain280"),FB10,IF(OR($P$19="Channel100",$P$19="Channel150",$P$19="Channel200",$P$19="Channel430"),EX10,IF(AND($P$19="Oval",$CJ$11=0.15),FI10,IF(AND($P$19="Oval",$CJ$11=0.225),FI10,IF(AND($P$19="Oval",$CJ$11=0.35),FI10,IF(AND($P$19="Oval",$CJ$11=0.55),FI10,IF(AND($P$19="Oval",$CJ$11=0.7),FE10,IF(AND($P$19="Oval",$CJ$11=0.9),FE10,"")))))))))</f>
        <v>0.18933333333333333</v>
      </c>
      <c r="FP10" s="29">
        <f>IF(MAX(FL$5:FM$104)&lt;0.5,FL10*2,FL10)</f>
        <v>0</v>
      </c>
      <c r="FQ10" s="29">
        <f>IF(MAX(FL$5:FM$104)&lt;0.5,FM10*2,FM10)</f>
        <v>0.18933333333333333</v>
      </c>
      <c r="FT10" s="29">
        <f>IF(AND(FP10=0,FQ10=0),FT9,FP10+(0.5*(1-MAX(FP$5:FP$104))))</f>
        <v>0.25</v>
      </c>
      <c r="FU10" s="29">
        <f>IF(AND(FP10=0,FQ10=0),FU9,FQ10+(0.5*(1-MAX(FQ$5:FQ$104))))</f>
        <v>0.40533333333333332</v>
      </c>
      <c r="FZ10" s="51">
        <v>0</v>
      </c>
      <c r="GA10" s="51">
        <f>GA6</f>
        <v>0.18933333333333333</v>
      </c>
      <c r="GB10" s="51">
        <f>($GC$6)*SIN(GL32)+($GC$6)</f>
        <v>0.28148478960347378</v>
      </c>
      <c r="GC10" s="51">
        <f>($GC$6)*COS(GL32)+$GC$6</f>
        <v>0.11539185332882709</v>
      </c>
      <c r="GE10" s="51">
        <v>75</v>
      </c>
      <c r="GF10" s="52">
        <f t="shared" si="3"/>
        <v>0.26812845660683687</v>
      </c>
      <c r="GG10" s="52">
        <f>(GG$4*SIN(GE10*PI()/180)+$CL$11)/2</f>
        <v>0.55832293466609539</v>
      </c>
      <c r="GH10" s="51">
        <v>75</v>
      </c>
      <c r="GI10" s="52">
        <f t="shared" si="4"/>
        <v>0.23833640587274391</v>
      </c>
      <c r="GJ10" s="52">
        <f>(GJ$4*SIN(GH10*PI()/180)+$CL$11)/2</f>
        <v>0.55832293466609539</v>
      </c>
      <c r="GK10" s="51">
        <v>6</v>
      </c>
      <c r="GL10" s="51">
        <f t="shared" si="5"/>
        <v>0.37699111843077515</v>
      </c>
      <c r="GM10" s="51">
        <f>($M$66/2000)*SIN(GL10)+($M$66/2000)</f>
        <v>0.34203113817116948</v>
      </c>
      <c r="GN10" s="51">
        <f>($M$66/2000)*COS(GL10)+$M$66/2000</f>
        <v>0.48244412147206284</v>
      </c>
      <c r="GO10" s="52"/>
      <c r="GQ10" s="51">
        <f>IF($M$65="Hexagon",FZ10,IF(OR($M$65="Kerbdrain150",$M$65="Kerbdrain280"),GF10,IF(OR($M$65="Channel100",$M$65="Channel150",$M$65="Channel200",$M$65="Channel430"),GB10,IF(AND($M$65="Oval",$CL$11=0.15),GM10,IF(AND($M$65="Oval",$CL$11=0.225),GM10,IF(AND($M$65="Oval",$CL$11=0.35),GM10,IF(AND($M$65="Oval",$CL$11=0.55),GM10,IF(AND($M$65="Oval",$CL$11=0.7),GI10,IF(AND($M$65="Oval",$CL$11=0.9),GI10,"")))))))))</f>
        <v>0</v>
      </c>
      <c r="GR10" s="51">
        <f>IF($M$65="Hexagon",GA10,IF(OR($M$65="Kerbdrain150",$M$65="Kerbdrain280"),GG10,IF(OR($M$65="Channel100",$M$65="Channel150",$M$65="Channel200",$M$65="Channel430"),GC10,IF(AND($M$65="Oval",$CL$11=0.15),GN10,IF(AND($M$65="Oval",$CL$11=0.225),GN10,IF(AND($M$65="Oval",$CL$11=0.35),GN10,IF(AND($M$65="Oval",$CL$11=0.55),GN10,IF(AND($M$65="Oval",$CL$11=0.7),GJ10,IF(AND($M$65="Oval",$CL$11=0.9),GJ10,"")))))))))</f>
        <v>0.18933333333333333</v>
      </c>
      <c r="GU10" s="51">
        <f>IF(MAX(GQ$5:GR$104)&lt;0.5,GQ10*2,GQ10)</f>
        <v>0</v>
      </c>
      <c r="GV10" s="51">
        <f>IF(MAX(GQ$5:GR$104)&lt;0.5,GR10*2,GR10)</f>
        <v>0.18933333333333333</v>
      </c>
      <c r="GY10" s="51">
        <f>IF(AND(GU10=0,GV10=0),GY9,GU10+(0.5*(1-MAX(GU$5:GU$104))))</f>
        <v>0.25</v>
      </c>
      <c r="GZ10" s="51">
        <f>IF(AND(GU10=0,GV10=0),GZ9,GV10+(0.5*(1-MAX(GV$5:GV$104))))</f>
        <v>0.40533333333333332</v>
      </c>
    </row>
    <row r="11" spans="2:211">
      <c r="B11" s="9"/>
      <c r="C11" s="10"/>
      <c r="D11" s="10"/>
      <c r="E11" s="10"/>
      <c r="F11" s="11"/>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42"/>
      <c r="AG11" s="41"/>
      <c r="AH11" s="41"/>
      <c r="AI11" s="41"/>
      <c r="AJ11" s="4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29" t="s">
        <v>73</v>
      </c>
      <c r="CI11" s="53" t="s">
        <v>74</v>
      </c>
      <c r="CJ11" s="56">
        <f>IF(P19="Custom",P21,IF(P19="hexagon",VLOOKUP(P$20,CM$6:CN$11,2,FALSE),IF(P19="Oval",VLOOKUP(P20,CM14:CN19,2,FALSE),P20/1000)))</f>
        <v>0.56799999999999995</v>
      </c>
      <c r="CK11" s="29" t="s">
        <v>1</v>
      </c>
      <c r="CL11" s="56">
        <f>IF(M65="hexagon",VLOOKUP(M66,CM$6:CN$11,2,FALSE),IF(M65="Oval",VLOOKUP(M66,CM14:CN19,2,FALSE),M66/1000))</f>
        <v>0.56799999999999995</v>
      </c>
      <c r="CM11" s="29">
        <v>600</v>
      </c>
      <c r="CN11" s="29">
        <v>0.83099999999999996</v>
      </c>
      <c r="CO11" s="29">
        <v>0.40054800000000002</v>
      </c>
      <c r="CQ11" s="50">
        <v>600</v>
      </c>
      <c r="CR11" s="50">
        <v>900</v>
      </c>
      <c r="CS11" s="50" t="s">
        <v>72</v>
      </c>
      <c r="CT11" s="50" t="s">
        <v>72</v>
      </c>
      <c r="CU11" s="50" t="s">
        <v>72</v>
      </c>
      <c r="CV11" s="50" t="s">
        <v>72</v>
      </c>
      <c r="CW11" s="50" t="s">
        <v>72</v>
      </c>
      <c r="CX11" s="50" t="s">
        <v>72</v>
      </c>
      <c r="DY11" s="50"/>
      <c r="ED11" s="29" t="s">
        <v>30</v>
      </c>
      <c r="EE11" s="29" t="s">
        <v>31</v>
      </c>
      <c r="EG11" s="29"/>
      <c r="EH11" s="29">
        <v>25</v>
      </c>
      <c r="EI11" s="29">
        <v>124.8</v>
      </c>
      <c r="EJ11" s="29">
        <v>91.3</v>
      </c>
      <c r="EK11" s="29">
        <v>73.099999999999994</v>
      </c>
      <c r="EL11" s="29">
        <v>47.5</v>
      </c>
      <c r="EM11" s="29">
        <v>36.200000000000003</v>
      </c>
      <c r="EN11" s="29">
        <v>29.6</v>
      </c>
      <c r="EO11" s="29">
        <v>17.899999999999999</v>
      </c>
      <c r="EP11" s="29">
        <v>10.6</v>
      </c>
      <c r="EQ11" s="29">
        <v>6</v>
      </c>
      <c r="EU11" s="51">
        <f>EU5</f>
        <v>0.25</v>
      </c>
      <c r="EV11" s="51">
        <f>EV5</f>
        <v>0</v>
      </c>
      <c r="EW11" s="29">
        <f>($EX$6)*SIN(FG33)+($EX$6)</f>
        <v>0.27953880888026567</v>
      </c>
      <c r="EX11" s="29">
        <f>($EX$6)*COS(FG33)+$EX$6</f>
        <v>0.10668603602259066</v>
      </c>
      <c r="EZ11" s="29">
        <v>90</v>
      </c>
      <c r="FA11" s="50">
        <f t="shared" si="1"/>
        <v>0.21299999999999997</v>
      </c>
      <c r="FB11" s="50">
        <f t="shared" ref="FB11:FB12" si="6">(FB$4*SIN(EZ11*PI()/180)+$CJ$11)/2</f>
        <v>0.56799999999999995</v>
      </c>
      <c r="FC11" s="29">
        <v>90</v>
      </c>
      <c r="FD11" s="50">
        <f t="shared" si="2"/>
        <v>0.18933333333333333</v>
      </c>
      <c r="FE11" s="50">
        <f t="shared" ref="FE11:FE12" si="7">(FE$4*SIN(FC11*PI()/180)+$CJ$11)/2</f>
        <v>0.56799999999999995</v>
      </c>
      <c r="FF11" s="29">
        <v>7</v>
      </c>
      <c r="FG11" s="29">
        <f t="shared" si="0"/>
        <v>0.4398229715025711</v>
      </c>
      <c r="FH11" s="29">
        <f>($P$20/2000)*SIN(FG11)+($P$20/2000)</f>
        <v>0.35644482289126816</v>
      </c>
      <c r="FI11" s="29">
        <f>($P$20/2000)*COS(FG11)+$P$20/2000</f>
        <v>0.47620676311650489</v>
      </c>
      <c r="FJ11" s="50"/>
      <c r="FL11" s="29">
        <f>IF($P$19="Hexagon",EU11,IF(OR($P$19="Kerbdrain150",$P$19="Kerbdrain280"),FA11,IF(OR($P$19="Channel100",$P$19="Channel150",$P$19="Channel200",$P$19="Channel430"),EW11,IF(AND($P$19="Oval",$CJ$11=0.15),FH11,IF(AND($P$19="Oval",$CJ$11=0.225),FH11,IF(AND($P$19="Oval",$CJ$11=0.35),FH11,IF(AND($P$19="Oval",$CJ$11=0.55),FH11,IF(AND($P$19="Oval",$CJ$11=0.7),FD11,IF(AND($P$19="Oval",$CJ$11=0.9),FD11,"")))))))))</f>
        <v>0.25</v>
      </c>
      <c r="FM11" s="29">
        <f>IF($P$19="Hexagon",EV11,IF(OR($P$19="Kerbdrain150",$P$19="Kerbdrain280"),FB11,IF(OR($P$19="Channel100",$P$19="Channel150",$P$19="Channel200",$P$19="Channel430"),EX11,IF(AND($P$19="Oval",$CJ$11=0.15),FI11,IF(AND($P$19="Oval",$CJ$11=0.225),FI11,IF(AND($P$19="Oval",$CJ$11=0.35),FI11,IF(AND($P$19="Oval",$CJ$11=0.55),FI11,IF(AND($P$19="Oval",$CJ$11=0.7),FE11,IF(AND($P$19="Oval",$CJ$11=0.9),FE11,"")))))))))</f>
        <v>0</v>
      </c>
      <c r="FP11" s="29">
        <f>IF(MAX(FL$5:FM$104)&lt;0.5,FL11*2,FL11)</f>
        <v>0.25</v>
      </c>
      <c r="FQ11" s="29">
        <f>IF(MAX(FL$5:FM$104)&lt;0.5,FM11*2,FM11)</f>
        <v>0</v>
      </c>
      <c r="FT11" s="29">
        <f>IF(AND(FP11=0,FQ11=0),FT10,FP11+(0.5*(1-MAX(FP$5:FP$104))))</f>
        <v>0.5</v>
      </c>
      <c r="FU11" s="29">
        <f>IF(AND(FP11=0,FQ11=0),FU10,FQ11+(0.5*(1-MAX(FQ$5:FQ$104))))</f>
        <v>0.21600000000000003</v>
      </c>
      <c r="FV11" s="29" t="str">
        <f>ROUNDUP(MAX(FL5:FL104),2)&amp;"m"</f>
        <v>0.5m</v>
      </c>
      <c r="FW11" s="29">
        <f>FW6-((FW6-FW5)/2)</f>
        <v>0.5</v>
      </c>
      <c r="FX11" s="29">
        <v>-0.1</v>
      </c>
      <c r="FZ11" s="51">
        <f>FZ5</f>
        <v>0.25</v>
      </c>
      <c r="GA11" s="51">
        <f>GA5</f>
        <v>0</v>
      </c>
      <c r="GB11" s="51">
        <f>($GC$6)*SIN(GL33)+($GC$6)</f>
        <v>0.27953880888026567</v>
      </c>
      <c r="GC11" s="51">
        <f>($GC$6)*COS(GL33)+$GC$6</f>
        <v>0.10668603602259066</v>
      </c>
      <c r="GE11" s="51">
        <v>90</v>
      </c>
      <c r="GF11" s="52">
        <f t="shared" si="3"/>
        <v>0.21299999999999997</v>
      </c>
      <c r="GG11" s="52">
        <f t="shared" ref="GG11:GG12" si="8">(GG$4*SIN(GE11*PI()/180)+$CL$11)/2</f>
        <v>0.56799999999999995</v>
      </c>
      <c r="GH11" s="51">
        <v>90</v>
      </c>
      <c r="GI11" s="52">
        <f t="shared" si="4"/>
        <v>0.18933333333333333</v>
      </c>
      <c r="GJ11" s="52">
        <f t="shared" ref="GJ11:GJ12" si="9">(GJ$4*SIN(GH11*PI()/180)+$CL$11)/2</f>
        <v>0.56799999999999995</v>
      </c>
      <c r="GK11" s="51">
        <v>7</v>
      </c>
      <c r="GL11" s="51">
        <f t="shared" si="5"/>
        <v>0.4398229715025711</v>
      </c>
      <c r="GM11" s="51">
        <f>($M$66/2000)*SIN(GL11)+($M$66/2000)</f>
        <v>0.35644482289126816</v>
      </c>
      <c r="GN11" s="51">
        <f>($M$66/2000)*COS(GL11)+$M$66/2000</f>
        <v>0.47620676311650489</v>
      </c>
      <c r="GO11" s="52"/>
      <c r="GQ11" s="51">
        <f>IF($M$65="Hexagon",FZ11,IF(OR($M$65="Kerbdrain150",$M$65="Kerbdrain280"),GF11,IF(OR($M$65="Channel100",$M$65="Channel150",$M$65="Channel200",$M$65="Channel430"),GB11,IF(AND($M$65="Oval",$CL$11=0.15),GM11,IF(AND($M$65="Oval",$CL$11=0.225),GM11,IF(AND($M$65="Oval",$CL$11=0.35),GM11,IF(AND($M$65="Oval",$CL$11=0.55),GM11,IF(AND($M$65="Oval",$CL$11=0.7),GI11,IF(AND($M$65="Oval",$CL$11=0.9),GI11,"")))))))))</f>
        <v>0.25</v>
      </c>
      <c r="GR11" s="51">
        <f>IF($M$65="Hexagon",GA11,IF(OR($M$65="Kerbdrain150",$M$65="Kerbdrain280"),GG11,IF(OR($M$65="Channel100",$M$65="Channel150",$M$65="Channel200",$M$65="Channel430"),GC11,IF(AND($M$65="Oval",$CL$11=0.15),GN11,IF(AND($M$65="Oval",$CL$11=0.225),GN11,IF(AND($M$65="Oval",$CL$11=0.35),GN11,IF(AND($M$65="Oval",$CL$11=0.55),GN11,IF(AND($M$65="Oval",$CL$11=0.7),GJ11,IF(AND($M$65="Oval",$CL$11=0.9),GJ11,"")))))))))</f>
        <v>0</v>
      </c>
      <c r="GU11" s="51">
        <f>IF(MAX(GQ$5:GR$104)&lt;0.5,GQ11*2,GQ11)</f>
        <v>0.25</v>
      </c>
      <c r="GV11" s="51">
        <f>IF(MAX(GQ$5:GR$104)&lt;0.5,GR11*2,GR11)</f>
        <v>0</v>
      </c>
      <c r="GY11" s="51">
        <f>IF(AND(GU11=0,GV11=0),GY10,GU11+(0.5*(1-MAX(GU$5:GU$104))))</f>
        <v>0.5</v>
      </c>
      <c r="GZ11" s="51">
        <f>IF(AND(GU11=0,GV11=0),GZ10,GV11+(0.5*(1-MAX(GV$5:GV$104))))</f>
        <v>0.21600000000000003</v>
      </c>
      <c r="HA11" s="51" t="str">
        <f>ROUNDUP(MAX(GQ5:GQ104),2)&amp;"m"</f>
        <v>0.5m</v>
      </c>
      <c r="HB11" s="51">
        <f>HB6-((HB6-HB5)/2)</f>
        <v>0.5</v>
      </c>
      <c r="HC11" s="51">
        <v>-0.1</v>
      </c>
    </row>
    <row r="12" spans="2:211" ht="15.75" thickBot="1">
      <c r="B12" s="9"/>
      <c r="C12" s="10"/>
      <c r="D12" s="10"/>
      <c r="E12" s="10"/>
      <c r="F12" s="11"/>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42"/>
      <c r="AG12" s="41"/>
      <c r="AH12" s="41"/>
      <c r="AI12" s="41"/>
      <c r="AJ12" s="4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29" t="s">
        <v>20</v>
      </c>
      <c r="CI12" s="53" t="s">
        <v>75</v>
      </c>
      <c r="CJ12" s="56">
        <f>IF(P19="Custom",P22,IF(P19="hexagon",VLOOKUP(P20,CM$6:CO$11,3,FALSE),IF(P19="Oval",VLOOKUP(P20,CM14:CO18,3,FALSE),IF(P19="Channel100",VLOOKUP(P20,CM22:CO26,3,FALSE),IF(P19="Channel150",VLOOKUP(P20,CM29:CO33,3,FALSE),IF(P19="Channel200",VLOOKUP(P20,CM36:CO39,3,FALSE),IF(P19="Channel430",VLOOKUP(P20,CM42:CO45,3,FALSE),IF(P19="KerbDrain150",VLOOKUP(P20,CM48:CO51,3,FALSE),IF(P19="KerbDrain280",VLOOKUP(P20,CM54:CO57,3,FALSE),"Error")))))))))</f>
        <v>0.21649299999999999</v>
      </c>
      <c r="CK12" s="29" t="s">
        <v>48</v>
      </c>
      <c r="CL12" s="56">
        <f>IF(M65="hexagon",VLOOKUP(M66,CM$6:CO$11,3,FALSE),IF(M65="Oval",VLOOKUP(M66,CM14:CO19,3,FALSE),IF(M65="Channel100",VLOOKUP(M66,CM22:CO26,3,FALSE),IF(M65="Channel150",VLOOKUP(M66,CM29:CO33,3,FALSE),IF(M65="Channel200",VLOOKUP(M66,CM36:CO39,3,FALSE),IF(M65="Channel430",VLOOKUP(M66,CM42:CO45,3,FALSE),IF(M65="KerbDrain150",VLOOKUP(M66,CM48:CO51,3,FALSE),IF(M65="KerbDrain280",VLOOKUP(M66,CM54:CO57,3,FALSE),"Error"))))))))</f>
        <v>0.21649299999999999</v>
      </c>
      <c r="CM12" s="51"/>
      <c r="CN12" s="51"/>
      <c r="CO12" s="51"/>
      <c r="CP12" s="51"/>
      <c r="CQ12" s="52"/>
      <c r="CR12" s="52"/>
      <c r="CS12" s="52"/>
      <c r="CT12" s="52"/>
      <c r="CU12" s="52"/>
      <c r="CV12" s="52"/>
      <c r="CW12" s="52"/>
      <c r="CX12" s="52"/>
      <c r="CY12" s="51"/>
      <c r="CZ12" s="51"/>
      <c r="DA12" s="51"/>
      <c r="DN12" s="51"/>
      <c r="DO12" s="51"/>
      <c r="DS12" s="51"/>
      <c r="DY12" s="50"/>
      <c r="ED12" s="29" t="s">
        <v>32</v>
      </c>
      <c r="EE12" s="29" t="s">
        <v>33</v>
      </c>
      <c r="EG12" s="29"/>
      <c r="EH12" s="29">
        <v>30</v>
      </c>
      <c r="EI12" s="29">
        <v>129.30000000000001</v>
      </c>
      <c r="EJ12" s="29">
        <v>94.9</v>
      </c>
      <c r="EK12" s="29">
        <v>76</v>
      </c>
      <c r="EL12" s="29">
        <v>49.5</v>
      </c>
      <c r="EM12" s="29">
        <v>37.700000000000003</v>
      </c>
      <c r="EN12" s="29">
        <v>30.8</v>
      </c>
      <c r="EO12" s="29">
        <v>18.600000000000001</v>
      </c>
      <c r="EP12" s="29">
        <v>11</v>
      </c>
      <c r="EQ12" s="29">
        <v>6</v>
      </c>
      <c r="EU12" s="51"/>
      <c r="EV12" s="51"/>
      <c r="EW12" s="29">
        <f t="shared" ref="EW12:EW57" si="10">($EX$6)*SIN(FG34)+($EX$6)</f>
        <v>0.27705002531391187</v>
      </c>
      <c r="EX12" s="29">
        <f t="shared" ref="EX12:EX57" si="11">($EX$6)*COS(FG34)+$EX$6</f>
        <v>9.8119586798757485E-2</v>
      </c>
      <c r="EZ12" s="29">
        <v>105</v>
      </c>
      <c r="FA12" s="50">
        <f t="shared" si="1"/>
        <v>0.15787154339316303</v>
      </c>
      <c r="FB12" s="50">
        <f t="shared" si="6"/>
        <v>0.55832293466609539</v>
      </c>
      <c r="FC12" s="29">
        <v>105</v>
      </c>
      <c r="FD12" s="50">
        <f t="shared" si="2"/>
        <v>0.14033026079392272</v>
      </c>
      <c r="FE12" s="50">
        <f t="shared" si="7"/>
        <v>0.55832293466609539</v>
      </c>
      <c r="FF12" s="29">
        <v>8</v>
      </c>
      <c r="FG12" s="29">
        <f t="shared" si="0"/>
        <v>0.50265482457436694</v>
      </c>
      <c r="FH12" s="29">
        <f>($P$20/2000)*SIN(FG12)+($P$20/2000)</f>
        <v>0.3704384185254288</v>
      </c>
      <c r="FI12" s="29">
        <f>($P$20/2000)*COS(FG12)+$P$20/2000</f>
        <v>0.46907667001096587</v>
      </c>
      <c r="FJ12" s="50"/>
      <c r="FL12" s="29">
        <f>IF($P$19="Hexagon",EU12,IF(OR($P$19="Kerbdrain150",$P$19="Kerbdrain280"),FA12,IF(OR($P$19="Channel100",$P$19="Channel150",$P$19="Channel200",$P$19="Channel430"),EW12,IF(AND($P$19="Oval",$CJ$11=0.15),FH12,IF(AND($P$19="Oval",$CJ$11=0.225),FH12,IF(AND($P$19="Oval",$CJ$11=0.35),FH12,IF(AND($P$19="Oval",$CJ$11=0.55),FH12,IF(AND($P$19="Oval",$CJ$11=0.7),FD12,IF(AND($P$19="Oval",$CJ$11=0.9),FD12,"")))))))))</f>
        <v>0</v>
      </c>
      <c r="FM12" s="29">
        <f>IF($P$19="Hexagon",EV12,IF(OR($P$19="Kerbdrain150",$P$19="Kerbdrain280"),FB12,IF(OR($P$19="Channel100",$P$19="Channel150",$P$19="Channel200",$P$19="Channel430"),EX12,IF(AND($P$19="Oval",$CJ$11=0.15),FI12,IF(AND($P$19="Oval",$CJ$11=0.225),FI12,IF(AND($P$19="Oval",$CJ$11=0.35),FI12,IF(AND($P$19="Oval",$CJ$11=0.55),FI12,IF(AND($P$19="Oval",$CJ$11=0.7),FE12,IF(AND($P$19="Oval",$CJ$11=0.9),FE12,"")))))))))</f>
        <v>0</v>
      </c>
      <c r="FP12" s="29">
        <f t="shared" ref="FP12" si="12">IF(MAX(FL$5:FM$104)&lt;0.5,FL12*2,FL12)</f>
        <v>0</v>
      </c>
      <c r="FQ12" s="29">
        <f t="shared" ref="FQ12" si="13">IF(MAX(FL$5:FM$104)&lt;0.5,FM12*2,FM12)</f>
        <v>0</v>
      </c>
      <c r="FT12" s="29">
        <f t="shared" ref="FT12" si="14">IF(AND(FP12=0,FQ12=0),FT11,FP12+(0.5*(1-MAX(FP$5:FP$104))))</f>
        <v>0.5</v>
      </c>
      <c r="FU12" s="29">
        <f t="shared" ref="FU12" si="15">IF(AND(FP12=0,FQ12=0),FU11,FQ12+(0.5*(1-MAX(FQ$5:FQ$104))))</f>
        <v>0.21600000000000003</v>
      </c>
      <c r="GB12" s="51">
        <f t="shared" ref="GB12:GB57" si="16">($GC$6)*SIN(GL34)+($GC$6)</f>
        <v>0.27705002531391187</v>
      </c>
      <c r="GC12" s="51">
        <f t="shared" ref="GC12:GC57" si="17">($GC$6)*COS(GL34)+$GC$6</f>
        <v>9.8119586798757485E-2</v>
      </c>
      <c r="GE12" s="51">
        <v>105</v>
      </c>
      <c r="GF12" s="52">
        <f t="shared" si="3"/>
        <v>0.15787154339316303</v>
      </c>
      <c r="GG12" s="52">
        <f t="shared" si="8"/>
        <v>0.55832293466609539</v>
      </c>
      <c r="GH12" s="51">
        <v>105</v>
      </c>
      <c r="GI12" s="52">
        <f t="shared" si="4"/>
        <v>0.14033026079392272</v>
      </c>
      <c r="GJ12" s="52">
        <f t="shared" si="9"/>
        <v>0.55832293466609539</v>
      </c>
      <c r="GK12" s="51">
        <v>8</v>
      </c>
      <c r="GL12" s="51">
        <f t="shared" si="5"/>
        <v>0.50265482457436694</v>
      </c>
      <c r="GM12" s="51">
        <f>($M$66/2000)*SIN(GL12)+($M$66/2000)</f>
        <v>0.3704384185254288</v>
      </c>
      <c r="GN12" s="51">
        <f>($M$66/2000)*COS(GL12)+$M$66/2000</f>
        <v>0.46907667001096587</v>
      </c>
      <c r="GO12" s="52"/>
      <c r="GQ12" s="51">
        <f>IF($M$65="Hexagon",FZ12,IF(OR($M$65="Kerbdrain150",$M$65="Kerbdrain280"),GF12,IF(OR($M$65="Channel100",$M$65="Channel150",$M$65="Channel200",$M$65="Channel430"),GB12,IF(AND($M$65="Oval",$CL$11=0.15),GM12,IF(AND($M$65="Oval",$CL$11=0.225),GM12,IF(AND($M$65="Oval",$CL$11=0.35),GM12,IF(AND($M$65="Oval",$CL$11=0.55),GM12,IF(AND($M$65="Oval",$CL$11=0.7),GI12,IF(AND($M$65="Oval",$CL$11=0.9),GI12,"")))))))))</f>
        <v>0</v>
      </c>
      <c r="GR12" s="51">
        <f>IF($M$65="Hexagon",GA12,IF(OR($M$65="Kerbdrain150",$M$65="Kerbdrain280"),GG12,IF(OR($M$65="Channel100",$M$65="Channel150",$M$65="Channel200",$M$65="Channel430"),GC12,IF(AND($M$65="Oval",$CL$11=0.15),GN12,IF(AND($M$65="Oval",$CL$11=0.225),GN12,IF(AND($M$65="Oval",$CL$11=0.35),GN12,IF(AND($M$65="Oval",$CL$11=0.55),GN12,IF(AND($M$65="Oval",$CL$11=0.7),GJ12,IF(AND($M$65="Oval",$CL$11=0.9),GJ12,"")))))))))</f>
        <v>0</v>
      </c>
      <c r="GU12" s="51">
        <f t="shared" ref="GU12" si="18">IF(MAX(GQ$5:GR$104)&lt;0.5,GQ12*2,GQ12)</f>
        <v>0</v>
      </c>
      <c r="GV12" s="51">
        <f t="shared" ref="GV12" si="19">IF(MAX(GQ$5:GR$104)&lt;0.5,GR12*2,GR12)</f>
        <v>0</v>
      </c>
      <c r="GY12" s="51">
        <f t="shared" ref="GY12" si="20">IF(AND(GU12=0,GV12=0),GY11,GU12+(0.5*(1-MAX(GU$5:GU$104))))</f>
        <v>0.5</v>
      </c>
      <c r="GZ12" s="51">
        <f t="shared" ref="GZ12" si="21">IF(AND(GU12=0,GV12=0),GZ11,GV12+(0.5*(1-MAX(GV$5:GV$104))))</f>
        <v>0.21600000000000003</v>
      </c>
    </row>
    <row r="13" spans="2:211" ht="15.75" thickBot="1">
      <c r="B13" s="9"/>
      <c r="C13" s="10"/>
      <c r="D13" s="10"/>
      <c r="E13" s="10"/>
      <c r="F13" s="11"/>
      <c r="G13" s="70"/>
      <c r="H13" s="90" t="s">
        <v>102</v>
      </c>
      <c r="I13" s="131"/>
      <c r="J13" s="131"/>
      <c r="K13" s="131"/>
      <c r="L13" s="131"/>
      <c r="M13" s="131"/>
      <c r="N13" s="131"/>
      <c r="O13" s="131"/>
      <c r="P13" s="131"/>
      <c r="Q13" s="131"/>
      <c r="R13" s="131"/>
      <c r="S13" s="131"/>
      <c r="T13" s="132"/>
      <c r="U13" s="68"/>
      <c r="V13" s="125" t="s">
        <v>112</v>
      </c>
      <c r="W13" s="136"/>
      <c r="X13" s="136"/>
      <c r="Y13" s="136"/>
      <c r="Z13" s="136"/>
      <c r="AA13" s="136"/>
      <c r="AB13" s="136"/>
      <c r="AC13" s="136"/>
      <c r="AD13" s="136"/>
      <c r="AE13" s="170"/>
      <c r="AF13" s="42"/>
      <c r="AG13" s="41"/>
      <c r="AH13" s="41"/>
      <c r="AI13" s="41"/>
      <c r="AJ13" s="4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M13" s="29" t="s">
        <v>58</v>
      </c>
      <c r="CQ13" s="50" t="s">
        <v>55</v>
      </c>
      <c r="CR13" s="50" t="s">
        <v>58</v>
      </c>
      <c r="CS13" s="50" t="s">
        <v>59</v>
      </c>
      <c r="CT13" s="50" t="s">
        <v>60</v>
      </c>
      <c r="CU13" s="50" t="s">
        <v>61</v>
      </c>
      <c r="CV13" s="50" t="s">
        <v>62</v>
      </c>
      <c r="CW13" s="50" t="s">
        <v>63</v>
      </c>
      <c r="CX13" s="50" t="s">
        <v>64</v>
      </c>
      <c r="CY13" s="51"/>
      <c r="CZ13" s="51"/>
      <c r="DA13" s="51"/>
      <c r="DN13" s="51"/>
      <c r="DO13" s="51"/>
      <c r="DS13" s="51"/>
      <c r="DY13" s="50"/>
      <c r="ED13" s="29" t="s">
        <v>34</v>
      </c>
      <c r="EE13" s="29" t="s">
        <v>35</v>
      </c>
      <c r="EG13" s="29"/>
      <c r="EH13" s="29">
        <v>50</v>
      </c>
      <c r="EI13" s="29">
        <v>143</v>
      </c>
      <c r="EJ13" s="29">
        <v>105.7</v>
      </c>
      <c r="EK13" s="29">
        <v>84.9</v>
      </c>
      <c r="EL13" s="29">
        <v>55.5</v>
      </c>
      <c r="EM13" s="29">
        <v>42.3</v>
      </c>
      <c r="EN13" s="29">
        <v>34.6</v>
      </c>
      <c r="EO13" s="29">
        <v>20.9</v>
      </c>
      <c r="EP13" s="29">
        <v>12.3</v>
      </c>
      <c r="EQ13" s="29">
        <v>7</v>
      </c>
      <c r="EU13" s="51"/>
      <c r="EV13" s="51"/>
      <c r="EW13" s="29">
        <f t="shared" si="10"/>
        <v>0.27402826099613176</v>
      </c>
      <c r="EX13" s="29">
        <f t="shared" si="11"/>
        <v>8.9726313518775747E-2</v>
      </c>
      <c r="EZ13" s="29">
        <v>120</v>
      </c>
      <c r="FA13" s="50">
        <f t="shared" si="1"/>
        <v>0.10650000000000003</v>
      </c>
      <c r="FB13" s="50">
        <f>(FB$4*SIN(EZ13*PI()/180)+$CJ$11)/2</f>
        <v>0.52995121467478057</v>
      </c>
      <c r="FC13" s="29">
        <v>120</v>
      </c>
      <c r="FD13" s="50">
        <f t="shared" si="2"/>
        <v>9.4666666666666704E-2</v>
      </c>
      <c r="FE13" s="50">
        <f>(FE$4*SIN(FC13*PI()/180)+$CJ$11)/2</f>
        <v>0.52995121467478057</v>
      </c>
      <c r="FF13" s="29">
        <v>9</v>
      </c>
      <c r="FG13" s="29">
        <f t="shared" si="0"/>
        <v>0.56548667764616278</v>
      </c>
      <c r="FH13" s="29">
        <f>($P$20/2000)*SIN(FG13)+($P$20/2000)</f>
        <v>0.38395669874474914</v>
      </c>
      <c r="FI13" s="29">
        <f>($P$20/2000)*COS(FG13)+$P$20/2000</f>
        <v>0.46108198137550377</v>
      </c>
      <c r="FJ13" s="50"/>
      <c r="FL13" s="29">
        <f>IF($P$19="Hexagon",EU13,IF(OR($P$19="Kerbdrain150",$P$19="Kerbdrain280"),FA13,IF(OR($P$19="Channel100",$P$19="Channel150",$P$19="Channel200",$P$19="Channel430"),EW13,IF(AND($P$19="Oval",$CJ$11=0.15),FH13,IF(AND($P$19="Oval",$CJ$11=0.225),FH13,IF(AND($P$19="Oval",$CJ$11=0.35),FH13,IF(AND($P$19="Oval",$CJ$11=0.55),FH13,IF(AND($P$19="Oval",$CJ$11=0.7),FD13,IF(AND($P$19="Oval",$CJ$11=0.9),FD13,"")))))))))</f>
        <v>0</v>
      </c>
      <c r="FM13" s="29">
        <f>IF($P$19="Hexagon",EV13,IF(OR($P$19="Kerbdrain150",$P$19="Kerbdrain280"),FB13,IF(OR($P$19="Channel100",$P$19="Channel150",$P$19="Channel200",$P$19="Channel430"),EX13,IF(AND($P$19="Oval",$CJ$11=0.15),FI13,IF(AND($P$19="Oval",$CJ$11=0.225),FI13,IF(AND($P$19="Oval",$CJ$11=0.35),FI13,IF(AND($P$19="Oval",$CJ$11=0.55),FI13,IF(AND($P$19="Oval",$CJ$11=0.7),FE13,IF(AND($P$19="Oval",$CJ$11=0.9),FE13,"")))))))))</f>
        <v>0</v>
      </c>
      <c r="FP13" s="29">
        <f>IF(MAX(FL$5:FM$104)&lt;0.5,FL13*2,FL13)</f>
        <v>0</v>
      </c>
      <c r="FQ13" s="29">
        <f>IF(MAX(FL$5:FM$104)&lt;0.5,FM13*2,FM13)</f>
        <v>0</v>
      </c>
      <c r="FT13" s="29">
        <f>IF(AND(FP13=0,FQ13=0),FT12,FP13+(0.5*(1-MAX(FP$5:FP$104))))</f>
        <v>0.5</v>
      </c>
      <c r="FU13" s="29">
        <f>IF(AND(FP13=0,FQ13=0),FU12,FQ13+(0.5*(1-MAX(FQ$5:FQ$104))))</f>
        <v>0.21600000000000003</v>
      </c>
      <c r="GB13" s="51">
        <f t="shared" si="16"/>
        <v>0.27402826099613176</v>
      </c>
      <c r="GC13" s="51">
        <f t="shared" si="17"/>
        <v>8.9726313518775747E-2</v>
      </c>
      <c r="GE13" s="51">
        <v>120</v>
      </c>
      <c r="GF13" s="52">
        <f t="shared" si="3"/>
        <v>0.10650000000000003</v>
      </c>
      <c r="GG13" s="52">
        <f>(GG$4*SIN(GE13*PI()/180)+$CL$11)/2</f>
        <v>0.52995121467478057</v>
      </c>
      <c r="GH13" s="51">
        <v>120</v>
      </c>
      <c r="GI13" s="52">
        <f t="shared" si="4"/>
        <v>9.4666666666666704E-2</v>
      </c>
      <c r="GJ13" s="52">
        <f>(GJ$4*SIN(GH13*PI()/180)+$CL$11)/2</f>
        <v>0.52995121467478057</v>
      </c>
      <c r="GK13" s="51">
        <v>9</v>
      </c>
      <c r="GL13" s="51">
        <f t="shared" si="5"/>
        <v>0.56548667764616278</v>
      </c>
      <c r="GM13" s="51">
        <f>($M$66/2000)*SIN(GL13)+($M$66/2000)</f>
        <v>0.38395669874474914</v>
      </c>
      <c r="GN13" s="51">
        <f>($M$66/2000)*COS(GL13)+$M$66/2000</f>
        <v>0.46108198137550377</v>
      </c>
      <c r="GO13" s="52"/>
      <c r="GQ13" s="51">
        <f>IF($M$65="Hexagon",FZ13,IF(OR($M$65="Kerbdrain150",$M$65="Kerbdrain280"),GF13,IF(OR($M$65="Channel100",$M$65="Channel150",$M$65="Channel200",$M$65="Channel430"),GB13,IF(AND($M$65="Oval",$CL$11=0.15),GM13,IF(AND($M$65="Oval",$CL$11=0.225),GM13,IF(AND($M$65="Oval",$CL$11=0.35),GM13,IF(AND($M$65="Oval",$CL$11=0.55),GM13,IF(AND($M$65="Oval",$CL$11=0.7),GI13,IF(AND($M$65="Oval",$CL$11=0.9),GI13,"")))))))))</f>
        <v>0</v>
      </c>
      <c r="GR13" s="51">
        <f>IF($M$65="Hexagon",GA13,IF(OR($M$65="Kerbdrain150",$M$65="Kerbdrain280"),GG13,IF(OR($M$65="Channel100",$M$65="Channel150",$M$65="Channel200",$M$65="Channel430"),GC13,IF(AND($M$65="Oval",$CL$11=0.15),GN13,IF(AND($M$65="Oval",$CL$11=0.225),GN13,IF(AND($M$65="Oval",$CL$11=0.35),GN13,IF(AND($M$65="Oval",$CL$11=0.55),GN13,IF(AND($M$65="Oval",$CL$11=0.7),GJ13,IF(AND($M$65="Oval",$CL$11=0.9),GJ13,"")))))))))</f>
        <v>0</v>
      </c>
      <c r="GU13" s="51">
        <f>IF(MAX(GQ$5:GR$104)&lt;0.5,GQ13*2,GQ13)</f>
        <v>0</v>
      </c>
      <c r="GV13" s="51">
        <f>IF(MAX(GQ$5:GR$104)&lt;0.5,GR13*2,GR13)</f>
        <v>0</v>
      </c>
      <c r="GY13" s="51">
        <f>IF(AND(GU13=0,GV13=0),GY12,GU13+(0.5*(1-MAX(GU$5:GU$104))))</f>
        <v>0.5</v>
      </c>
      <c r="GZ13" s="51">
        <f>IF(AND(GU13=0,GV13=0),GZ12,GV13+(0.5*(1-MAX(GV$5:GV$104))))</f>
        <v>0.21600000000000003</v>
      </c>
    </row>
    <row r="14" spans="2:211" ht="15.75" thickBot="1">
      <c r="B14" s="9"/>
      <c r="C14" s="10"/>
      <c r="D14" s="10"/>
      <c r="E14" s="10"/>
      <c r="F14" s="11"/>
      <c r="G14" s="70"/>
      <c r="H14" s="80" t="s">
        <v>103</v>
      </c>
      <c r="I14" s="81"/>
      <c r="J14" s="81"/>
      <c r="K14" s="81"/>
      <c r="L14" s="81"/>
      <c r="M14" s="81"/>
      <c r="N14" s="81"/>
      <c r="O14" s="130"/>
      <c r="P14" s="91">
        <v>1</v>
      </c>
      <c r="Q14" s="133"/>
      <c r="R14" s="134"/>
      <c r="S14" s="80" t="s">
        <v>0</v>
      </c>
      <c r="T14" s="130"/>
      <c r="U14" s="68"/>
      <c r="V14" s="41"/>
      <c r="W14" s="41"/>
      <c r="X14" s="41"/>
      <c r="Y14" s="41"/>
      <c r="Z14" s="41"/>
      <c r="AA14" s="41"/>
      <c r="AB14" s="41"/>
      <c r="AC14" s="41"/>
      <c r="AD14" s="41"/>
      <c r="AE14" s="67"/>
      <c r="AF14" s="61" t="s">
        <v>128</v>
      </c>
      <c r="AG14" s="202">
        <f>P14/100</f>
        <v>0.01</v>
      </c>
      <c r="AH14" s="202"/>
      <c r="AI14" s="203" t="s">
        <v>129</v>
      </c>
      <c r="AJ14" s="204"/>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29" t="s">
        <v>76</v>
      </c>
      <c r="CI14" s="53" t="s">
        <v>77</v>
      </c>
      <c r="CJ14" s="29">
        <f>(CJ2*CJ3*CJ4)/3600</f>
        <v>111.25</v>
      </c>
      <c r="CK14" s="29" t="s">
        <v>2</v>
      </c>
      <c r="CM14" s="50">
        <v>150</v>
      </c>
      <c r="CN14" s="29">
        <v>0.15</v>
      </c>
      <c r="CO14" s="50">
        <v>1.7670000000000002E-2</v>
      </c>
      <c r="CQ14" s="29">
        <v>0.16600000000000001</v>
      </c>
      <c r="CR14" s="29">
        <v>0.15</v>
      </c>
      <c r="CS14" s="29">
        <v>0.13</v>
      </c>
      <c r="CT14" s="29">
        <v>0.18</v>
      </c>
      <c r="CU14" s="29">
        <v>0.24</v>
      </c>
      <c r="CV14" s="29">
        <v>0.13500000000000001</v>
      </c>
      <c r="CW14" s="29">
        <v>0.13500000000000001</v>
      </c>
      <c r="CX14" s="29">
        <v>0.13500000000000001</v>
      </c>
      <c r="CY14" s="51"/>
      <c r="CZ14" s="51"/>
      <c r="DA14" s="51"/>
      <c r="DN14" s="51"/>
      <c r="DO14" s="51"/>
      <c r="DS14" s="51"/>
      <c r="DY14" s="50"/>
      <c r="EG14" s="29"/>
      <c r="EH14" s="29">
        <v>100</v>
      </c>
      <c r="EI14" s="29">
        <v>163.9</v>
      </c>
      <c r="EJ14" s="29">
        <v>122.4</v>
      </c>
      <c r="EK14" s="29">
        <v>98.7</v>
      </c>
      <c r="EL14" s="29">
        <v>64.8</v>
      </c>
      <c r="EM14" s="29">
        <v>49.5</v>
      </c>
      <c r="EN14" s="29">
        <v>40.5</v>
      </c>
      <c r="EO14" s="29">
        <v>24.5</v>
      </c>
      <c r="EP14" s="29">
        <v>14.3</v>
      </c>
      <c r="EQ14" s="29">
        <v>8</v>
      </c>
      <c r="EU14" s="51"/>
      <c r="EV14" s="51"/>
      <c r="EW14" s="29">
        <f t="shared" si="10"/>
        <v>0.27048544145017478</v>
      </c>
      <c r="EX14" s="29">
        <f t="shared" si="11"/>
        <v>8.1539340597759691E-2</v>
      </c>
      <c r="EZ14" s="29">
        <v>135</v>
      </c>
      <c r="FA14" s="50">
        <f t="shared" si="1"/>
        <v>6.2386255607265378E-2</v>
      </c>
      <c r="FB14" s="50">
        <f>(FB$4*SIN(EZ14*PI()/180)+$CJ$11)/2</f>
        <v>0.48481832585697948</v>
      </c>
      <c r="FC14" s="29">
        <v>135</v>
      </c>
      <c r="FD14" s="50">
        <f t="shared" si="2"/>
        <v>5.5454449428680358E-2</v>
      </c>
      <c r="FE14" s="50">
        <f>(FE$4*SIN(FC14*PI()/180)+$CJ$11)/2</f>
        <v>0.48481832585697948</v>
      </c>
      <c r="FF14" s="29">
        <v>10</v>
      </c>
      <c r="FG14" s="29">
        <f t="shared" si="0"/>
        <v>0.62831853071795862</v>
      </c>
      <c r="FH14" s="29">
        <f>($P$20/2000)*SIN(FG14)+($P$20/2000)</f>
        <v>0.39694631307311828</v>
      </c>
      <c r="FI14" s="29">
        <f>($P$20/2000)*COS(FG14)+$P$20/2000</f>
        <v>0.45225424859373686</v>
      </c>
      <c r="FJ14" s="50"/>
      <c r="FL14" s="29">
        <f>IF($P$19="Hexagon",EU14,IF(OR($P$19="Kerbdrain150",$P$19="Kerbdrain280"),FA14,IF(OR($P$19="Channel100",$P$19="Channel150",$P$19="Channel200",$P$19="Channel430"),EW14,IF(AND($P$19="Oval",$CJ$11=0.15),FH14,IF(AND($P$19="Oval",$CJ$11=0.225),FH14,IF(AND($P$19="Oval",$CJ$11=0.35),FH14,IF(AND($P$19="Oval",$CJ$11=0.55),FH14,IF(AND($P$19="Oval",$CJ$11=0.7),FD14,IF(AND($P$19="Oval",$CJ$11=0.9),FD14,"")))))))))</f>
        <v>0</v>
      </c>
      <c r="FM14" s="29">
        <f>IF($P$19="Hexagon",EV14,IF(OR($P$19="Kerbdrain150",$P$19="Kerbdrain280"),FB14,IF(OR($P$19="Channel100",$P$19="Channel150",$P$19="Channel200",$P$19="Channel430"),EX14,IF(AND($P$19="Oval",$CJ$11=0.15),FI14,IF(AND($P$19="Oval",$CJ$11=0.225),FI14,IF(AND($P$19="Oval",$CJ$11=0.35),FI14,IF(AND($P$19="Oval",$CJ$11=0.55),FI14,IF(AND($P$19="Oval",$CJ$11=0.7),FE14,IF(AND($P$19="Oval",$CJ$11=0.9),FE14,"")))))))))</f>
        <v>0</v>
      </c>
      <c r="FP14" s="29">
        <f>IF(MAX(FL$5:FM$104)&lt;0.5,FL14*2,FL14)</f>
        <v>0</v>
      </c>
      <c r="FQ14" s="29">
        <f>IF(MAX(FL$5:FM$104)&lt;0.5,FM14*2,FM14)</f>
        <v>0</v>
      </c>
      <c r="FT14" s="29">
        <f>IF(AND(FP14=0,FQ14=0),FT13,FP14+(0.5*(1-MAX(FP$5:FP$104))))</f>
        <v>0.5</v>
      </c>
      <c r="FU14" s="29">
        <f>IF(AND(FP14=0,FQ14=0),FU13,FQ14+(0.5*(1-MAX(FQ$5:FQ$104))))</f>
        <v>0.21600000000000003</v>
      </c>
      <c r="FV14" s="29" t="str">
        <f>ROUNDUP(MAX(FM5:FM104),2)&amp;"m"</f>
        <v>0.57m</v>
      </c>
      <c r="FW14" s="29">
        <v>-0.1</v>
      </c>
      <c r="FX14" s="29">
        <f>FX9-((FX9-FX8)/2)</f>
        <v>0.5</v>
      </c>
      <c r="GB14" s="51">
        <f t="shared" si="16"/>
        <v>0.27048544145017478</v>
      </c>
      <c r="GC14" s="51">
        <f t="shared" si="17"/>
        <v>8.1539340597759691E-2</v>
      </c>
      <c r="GE14" s="51">
        <v>135</v>
      </c>
      <c r="GF14" s="52">
        <f t="shared" si="3"/>
        <v>6.2386255607265378E-2</v>
      </c>
      <c r="GG14" s="52">
        <f>(GG$4*SIN(GE14*PI()/180)+$CL$11)/2</f>
        <v>0.48481832585697948</v>
      </c>
      <c r="GH14" s="51">
        <v>135</v>
      </c>
      <c r="GI14" s="52">
        <f t="shared" si="4"/>
        <v>5.5454449428680358E-2</v>
      </c>
      <c r="GJ14" s="52">
        <f>(GJ$4*SIN(GH14*PI()/180)+$CL$11)/2</f>
        <v>0.48481832585697948</v>
      </c>
      <c r="GK14" s="51">
        <v>10</v>
      </c>
      <c r="GL14" s="51">
        <f t="shared" si="5"/>
        <v>0.62831853071795862</v>
      </c>
      <c r="GM14" s="51">
        <f>($M$66/2000)*SIN(GL14)+($M$66/2000)</f>
        <v>0.39694631307311828</v>
      </c>
      <c r="GN14" s="51">
        <f>($M$66/2000)*COS(GL14)+$M$66/2000</f>
        <v>0.45225424859373686</v>
      </c>
      <c r="GO14" s="52"/>
      <c r="GQ14" s="51">
        <f>IF($M$65="Hexagon",FZ14,IF(OR($M$65="Kerbdrain150",$M$65="Kerbdrain280"),GF14,IF(OR($M$65="Channel100",$M$65="Channel150",$M$65="Channel200",$M$65="Channel430"),GB14,IF(AND($M$65="Oval",$CL$11=0.15),GM14,IF(AND($M$65="Oval",$CL$11=0.225),GM14,IF(AND($M$65="Oval",$CL$11=0.35),GM14,IF(AND($M$65="Oval",$CL$11=0.55),GM14,IF(AND($M$65="Oval",$CL$11=0.7),GI14,IF(AND($M$65="Oval",$CL$11=0.9),GI14,"")))))))))</f>
        <v>0</v>
      </c>
      <c r="GR14" s="51">
        <f>IF($M$65="Hexagon",GA14,IF(OR($M$65="Kerbdrain150",$M$65="Kerbdrain280"),GG14,IF(OR($M$65="Channel100",$M$65="Channel150",$M$65="Channel200",$M$65="Channel430"),GC14,IF(AND($M$65="Oval",$CL$11=0.15),GN14,IF(AND($M$65="Oval",$CL$11=0.225),GN14,IF(AND($M$65="Oval",$CL$11=0.35),GN14,IF(AND($M$65="Oval",$CL$11=0.55),GN14,IF(AND($M$65="Oval",$CL$11=0.7),GJ14,IF(AND($M$65="Oval",$CL$11=0.9),GJ14,"")))))))))</f>
        <v>0</v>
      </c>
      <c r="GU14" s="51">
        <f>IF(MAX(GQ$5:GR$104)&lt;0.5,GQ14*2,GQ14)</f>
        <v>0</v>
      </c>
      <c r="GV14" s="51">
        <f>IF(MAX(GQ$5:GR$104)&lt;0.5,GR14*2,GR14)</f>
        <v>0</v>
      </c>
      <c r="GY14" s="51">
        <f>IF(AND(GU14=0,GV14=0),GY13,GU14+(0.5*(1-MAX(GU$5:GU$104))))</f>
        <v>0.5</v>
      </c>
      <c r="GZ14" s="51">
        <f>IF(AND(GU14=0,GV14=0),GZ13,GV14+(0.5*(1-MAX(GV$5:GV$104))))</f>
        <v>0.21600000000000003</v>
      </c>
      <c r="HA14" s="51" t="str">
        <f>ROUNDUP(MAX(GR5:GR104),2)&amp;"m"</f>
        <v>0.57m</v>
      </c>
      <c r="HB14" s="51">
        <v>-0.1</v>
      </c>
      <c r="HC14" s="51">
        <f>HC9-((HC9-HC8)/2)</f>
        <v>0.5</v>
      </c>
    </row>
    <row r="15" spans="2:211" ht="15.75" thickBot="1">
      <c r="B15" s="9"/>
      <c r="C15" s="10"/>
      <c r="D15" s="10"/>
      <c r="E15" s="10"/>
      <c r="F15" s="11"/>
      <c r="G15" s="70"/>
      <c r="H15" s="83" t="s">
        <v>104</v>
      </c>
      <c r="I15" s="84"/>
      <c r="J15" s="84"/>
      <c r="K15" s="84"/>
      <c r="L15" s="84"/>
      <c r="M15" s="84"/>
      <c r="N15" s="84"/>
      <c r="O15" s="92"/>
      <c r="P15" s="271">
        <v>100</v>
      </c>
      <c r="Q15" s="277"/>
      <c r="R15" s="278"/>
      <c r="S15" s="83" t="s">
        <v>1</v>
      </c>
      <c r="T15" s="92"/>
      <c r="U15" s="68"/>
      <c r="V15" s="41"/>
      <c r="W15" s="41"/>
      <c r="X15" s="41"/>
      <c r="Y15" s="41"/>
      <c r="Z15" s="41"/>
      <c r="AA15" s="41"/>
      <c r="AB15" s="41"/>
      <c r="AC15" s="41"/>
      <c r="AD15" s="41"/>
      <c r="AE15" s="67"/>
      <c r="AF15" s="205" t="s">
        <v>130</v>
      </c>
      <c r="AG15" s="206"/>
      <c r="AH15" s="206"/>
      <c r="AI15" s="207">
        <f>100/P14</f>
        <v>100</v>
      </c>
      <c r="AJ15" s="208"/>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M15" s="50">
        <v>225</v>
      </c>
      <c r="CN15" s="29">
        <v>0.22500000000000001</v>
      </c>
      <c r="CO15" s="50">
        <v>3.9800000000000002E-2</v>
      </c>
      <c r="CQ15" s="29">
        <v>0.252</v>
      </c>
      <c r="CR15" s="29">
        <v>0.22500000000000001</v>
      </c>
      <c r="CS15" s="29">
        <v>0.18</v>
      </c>
      <c r="CT15" s="29">
        <v>0.23</v>
      </c>
      <c r="CU15" s="29">
        <v>0.26500000000000001</v>
      </c>
      <c r="CV15" s="29">
        <v>0.20499999999999999</v>
      </c>
      <c r="CW15" s="29">
        <v>0.185</v>
      </c>
      <c r="CX15" s="29">
        <v>0.20499999999999999</v>
      </c>
      <c r="CY15" s="51"/>
      <c r="CZ15" s="51"/>
      <c r="DA15" s="51"/>
      <c r="DN15" s="51"/>
      <c r="DO15" s="51"/>
      <c r="DS15" s="51"/>
      <c r="DY15" s="50"/>
      <c r="ED15" s="29" t="s">
        <v>40</v>
      </c>
      <c r="EG15" s="29"/>
      <c r="EH15" s="29">
        <v>500</v>
      </c>
      <c r="EI15" s="29">
        <v>225</v>
      </c>
      <c r="EJ15" s="29">
        <v>171.9</v>
      </c>
      <c r="EK15" s="29">
        <v>139.80000000000001</v>
      </c>
      <c r="EL15" s="29">
        <v>92.9</v>
      </c>
      <c r="EM15" s="29">
        <v>71.2</v>
      </c>
      <c r="EN15" s="29">
        <v>58.4</v>
      </c>
      <c r="EO15" s="29">
        <v>35.200000000000003</v>
      </c>
      <c r="EP15" s="29">
        <v>20.5</v>
      </c>
      <c r="EQ15" s="29">
        <v>12</v>
      </c>
      <c r="EU15" s="51"/>
      <c r="EV15" s="51"/>
      <c r="EW15" s="29">
        <f t="shared" si="10"/>
        <v>0.26643554856622864</v>
      </c>
      <c r="EX15" s="29">
        <f t="shared" si="11"/>
        <v>7.359097827755641E-2</v>
      </c>
      <c r="EZ15" s="29">
        <v>150</v>
      </c>
      <c r="FA15" s="50">
        <f t="shared" si="1"/>
        <v>2.8536588993914563E-2</v>
      </c>
      <c r="FB15" s="50">
        <f>(FB$4*SIN(EZ15*PI()/180)+$CJ$11)/2</f>
        <v>0.42599999999999993</v>
      </c>
      <c r="FC15" s="29">
        <v>150</v>
      </c>
      <c r="FD15" s="50">
        <f t="shared" si="2"/>
        <v>2.5365856883479615E-2</v>
      </c>
      <c r="FE15" s="50">
        <f>(FE$4*SIN(FC15*PI()/180)+$CJ$11)/2</f>
        <v>0.42599999999999993</v>
      </c>
      <c r="FF15" s="29">
        <v>11</v>
      </c>
      <c r="FG15" s="29">
        <f t="shared" si="0"/>
        <v>0.69115038378975446</v>
      </c>
      <c r="FH15" s="29">
        <f>($P$20/2000)*SIN(FG15)+($P$20/2000)</f>
        <v>0.40935599743717244</v>
      </c>
      <c r="FI15" s="29">
        <f>($P$20/2000)*COS(FG15)+$P$20/2000</f>
        <v>0.44262831069394731</v>
      </c>
      <c r="FJ15" s="50"/>
      <c r="FL15" s="29">
        <f>IF($P$19="Hexagon",EU15,IF(OR($P$19="Kerbdrain150",$P$19="Kerbdrain280"),FA15,IF(OR($P$19="Channel100",$P$19="Channel150",$P$19="Channel200",$P$19="Channel430"),EW15,IF(AND($P$19="Oval",$CJ$11=0.15),FH15,IF(AND($P$19="Oval",$CJ$11=0.225),FH15,IF(AND($P$19="Oval",$CJ$11=0.35),FH15,IF(AND($P$19="Oval",$CJ$11=0.55),FH15,IF(AND($P$19="Oval",$CJ$11=0.7),FD15,IF(AND($P$19="Oval",$CJ$11=0.9),FD15,"")))))))))</f>
        <v>0</v>
      </c>
      <c r="FM15" s="29">
        <f>IF($P$19="Hexagon",EV15,IF(OR($P$19="Kerbdrain150",$P$19="Kerbdrain280"),FB15,IF(OR($P$19="Channel100",$P$19="Channel150",$P$19="Channel200",$P$19="Channel430"),EX15,IF(AND($P$19="Oval",$CJ$11=0.15),FI15,IF(AND($P$19="Oval",$CJ$11=0.225),FI15,IF(AND($P$19="Oval",$CJ$11=0.35),FI15,IF(AND($P$19="Oval",$CJ$11=0.55),FI15,IF(AND($P$19="Oval",$CJ$11=0.7),FE15,IF(AND($P$19="Oval",$CJ$11=0.9),FE15,"")))))))))</f>
        <v>0</v>
      </c>
      <c r="FP15" s="29">
        <f>IF(MAX(FL$5:FM$104)&lt;0.5,FL15*2,FL15)</f>
        <v>0</v>
      </c>
      <c r="FQ15" s="29">
        <f>IF(MAX(FL$5:FM$104)&lt;0.5,FM15*2,FM15)</f>
        <v>0</v>
      </c>
      <c r="FT15" s="29">
        <f>IF(AND(FP15=0,FQ15=0),FT14,FP15+(0.5*(1-MAX(FP$5:FP$104))))</f>
        <v>0.5</v>
      </c>
      <c r="FU15" s="29">
        <f>IF(AND(FP15=0,FQ15=0),FU14,FQ15+(0.5*(1-MAX(FQ$5:FQ$104))))</f>
        <v>0.21600000000000003</v>
      </c>
      <c r="GB15" s="51">
        <f t="shared" si="16"/>
        <v>0.26643554856622864</v>
      </c>
      <c r="GC15" s="51">
        <f t="shared" si="17"/>
        <v>7.359097827755641E-2</v>
      </c>
      <c r="GE15" s="51">
        <v>150</v>
      </c>
      <c r="GF15" s="52">
        <f t="shared" si="3"/>
        <v>2.8536588993914563E-2</v>
      </c>
      <c r="GG15" s="52">
        <f>(GG$4*SIN(GE15*PI()/180)+$CL$11)/2</f>
        <v>0.42599999999999993</v>
      </c>
      <c r="GH15" s="51">
        <v>150</v>
      </c>
      <c r="GI15" s="52">
        <f t="shared" si="4"/>
        <v>2.5365856883479615E-2</v>
      </c>
      <c r="GJ15" s="52">
        <f>(GJ$4*SIN(GH15*PI()/180)+$CL$11)/2</f>
        <v>0.42599999999999993</v>
      </c>
      <c r="GK15" s="51">
        <v>11</v>
      </c>
      <c r="GL15" s="51">
        <f t="shared" si="5"/>
        <v>0.69115038378975446</v>
      </c>
      <c r="GM15" s="51">
        <f>($M$66/2000)*SIN(GL15)+($M$66/2000)</f>
        <v>0.40935599743717244</v>
      </c>
      <c r="GN15" s="51">
        <f>($M$66/2000)*COS(GL15)+$M$66/2000</f>
        <v>0.44262831069394731</v>
      </c>
      <c r="GO15" s="52"/>
      <c r="GQ15" s="51">
        <f>IF($M$65="Hexagon",FZ15,IF(OR($M$65="Kerbdrain150",$M$65="Kerbdrain280"),GF15,IF(OR($M$65="Channel100",$M$65="Channel150",$M$65="Channel200",$M$65="Channel430"),GB15,IF(AND($M$65="Oval",$CL$11=0.15),GM15,IF(AND($M$65="Oval",$CL$11=0.225),GM15,IF(AND($M$65="Oval",$CL$11=0.35),GM15,IF(AND($M$65="Oval",$CL$11=0.55),GM15,IF(AND($M$65="Oval",$CL$11=0.7),GI15,IF(AND($M$65="Oval",$CL$11=0.9),GI15,"")))))))))</f>
        <v>0</v>
      </c>
      <c r="GR15" s="51">
        <f>IF($M$65="Hexagon",GA15,IF(OR($M$65="Kerbdrain150",$M$65="Kerbdrain280"),GG15,IF(OR($M$65="Channel100",$M$65="Channel150",$M$65="Channel200",$M$65="Channel430"),GC15,IF(AND($M$65="Oval",$CL$11=0.15),GN15,IF(AND($M$65="Oval",$CL$11=0.225),GN15,IF(AND($M$65="Oval",$CL$11=0.35),GN15,IF(AND($M$65="Oval",$CL$11=0.55),GN15,IF(AND($M$65="Oval",$CL$11=0.7),GJ15,IF(AND($M$65="Oval",$CL$11=0.9),GJ15,"")))))))))</f>
        <v>0</v>
      </c>
      <c r="GU15" s="51">
        <f>IF(MAX(GQ$5:GR$104)&lt;0.5,GQ15*2,GQ15)</f>
        <v>0</v>
      </c>
      <c r="GV15" s="51">
        <f>IF(MAX(GQ$5:GR$104)&lt;0.5,GR15*2,GR15)</f>
        <v>0</v>
      </c>
      <c r="GY15" s="51">
        <f>IF(AND(GU15=0,GV15=0),GY14,GU15+(0.5*(1-MAX(GU$5:GU$104))))</f>
        <v>0.5</v>
      </c>
      <c r="GZ15" s="51">
        <f>IF(AND(GU15=0,GV15=0),GZ14,GV15+(0.5*(1-MAX(GV$5:GV$104))))</f>
        <v>0.21600000000000003</v>
      </c>
    </row>
    <row r="16" spans="2:211" ht="15.75" thickBot="1">
      <c r="B16" s="9"/>
      <c r="C16" s="10"/>
      <c r="D16" s="10"/>
      <c r="E16" s="10"/>
      <c r="F16" s="11"/>
      <c r="G16" s="70"/>
      <c r="H16" s="71" t="s">
        <v>105</v>
      </c>
      <c r="I16" s="72"/>
      <c r="J16" s="72"/>
      <c r="K16" s="72"/>
      <c r="L16" s="72"/>
      <c r="M16" s="72"/>
      <c r="N16" s="72"/>
      <c r="O16" s="73"/>
      <c r="P16" s="188">
        <f>IF(P14&lt;=0.5,0.132*(P14/100)-0.00022,0.00044)</f>
        <v>4.4000000000000002E-4</v>
      </c>
      <c r="Q16" s="131"/>
      <c r="R16" s="189"/>
      <c r="S16" s="190"/>
      <c r="T16" s="191"/>
      <c r="U16" s="68"/>
      <c r="V16" s="41"/>
      <c r="W16" s="41"/>
      <c r="X16" s="41"/>
      <c r="Y16" s="41"/>
      <c r="Z16" s="41"/>
      <c r="AA16" s="41"/>
      <c r="AB16" s="41"/>
      <c r="AC16" s="41"/>
      <c r="AD16" s="41"/>
      <c r="AE16" s="67"/>
      <c r="AF16" s="42"/>
      <c r="AG16" s="41"/>
      <c r="AH16" s="41"/>
      <c r="AI16" s="41"/>
      <c r="AJ16" s="4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29" t="s">
        <v>78</v>
      </c>
      <c r="CM16" s="50">
        <v>350</v>
      </c>
      <c r="CN16" s="29">
        <v>0.35</v>
      </c>
      <c r="CO16" s="50">
        <v>9.6210000000000004E-2</v>
      </c>
      <c r="CQ16" s="29">
        <v>0.33800000000000002</v>
      </c>
      <c r="CR16" s="29">
        <v>0.35</v>
      </c>
      <c r="CS16" s="29">
        <v>0.23</v>
      </c>
      <c r="CT16" s="29">
        <v>0.28000000000000003</v>
      </c>
      <c r="CU16" s="29">
        <v>0.28999999999999998</v>
      </c>
      <c r="CV16" s="29">
        <v>0.27500000000000002</v>
      </c>
      <c r="CW16" s="29">
        <v>0.23499999999999999</v>
      </c>
      <c r="CX16" s="29">
        <v>0.27500000000000002</v>
      </c>
      <c r="CY16" s="51"/>
      <c r="CZ16" s="51"/>
      <c r="DA16" s="51"/>
      <c r="DN16" s="51"/>
      <c r="DO16" s="51"/>
      <c r="DS16" s="51"/>
      <c r="DY16" s="50"/>
      <c r="ED16" s="29" t="s">
        <v>41</v>
      </c>
      <c r="EG16" s="29"/>
      <c r="EH16" s="29">
        <v>1000</v>
      </c>
      <c r="EI16" s="29">
        <v>257.89999999999998</v>
      </c>
      <c r="EJ16" s="29">
        <v>199</v>
      </c>
      <c r="EK16" s="29">
        <v>162.5</v>
      </c>
      <c r="EL16" s="29">
        <v>108.4</v>
      </c>
      <c r="EM16" s="29">
        <v>83.3</v>
      </c>
      <c r="EN16" s="29">
        <v>68.400000000000006</v>
      </c>
      <c r="EO16" s="29">
        <v>41.2</v>
      </c>
      <c r="EP16" s="29">
        <v>23.8</v>
      </c>
      <c r="EQ16" s="29">
        <v>14</v>
      </c>
      <c r="EW16" s="29">
        <f t="shared" si="10"/>
        <v>0.26189456542128614</v>
      </c>
      <c r="EX16" s="29">
        <f t="shared" si="11"/>
        <v>6.5912595112982447E-2</v>
      </c>
      <c r="EZ16" s="29">
        <v>165</v>
      </c>
      <c r="FA16" s="50">
        <f t="shared" si="1"/>
        <v>7.257799000428472E-3</v>
      </c>
      <c r="FB16" s="50">
        <f>(FB$4*SIN(EZ16*PI()/180)+$CJ$11)/2</f>
        <v>0.35750460880911594</v>
      </c>
      <c r="FC16" s="29">
        <v>165</v>
      </c>
      <c r="FD16" s="50">
        <f t="shared" si="2"/>
        <v>6.4513768892697498E-3</v>
      </c>
      <c r="FE16" s="50">
        <f>(FE$4*SIN(FC16*PI()/180)+$CJ$11)/2</f>
        <v>0.35750460880911594</v>
      </c>
      <c r="FF16" s="29">
        <v>12</v>
      </c>
      <c r="FG16" s="29">
        <f t="shared" si="0"/>
        <v>0.7539822368615503</v>
      </c>
      <c r="FH16" s="29">
        <f>($P$20/2000)*SIN(FG16)+($P$20/2000)</f>
        <v>0.42113677648217218</v>
      </c>
      <c r="FI16" s="29">
        <f>($P$20/2000)*COS(FG16)+$P$20/2000</f>
        <v>0.43224215685535289</v>
      </c>
      <c r="FJ16" s="50"/>
      <c r="FL16" s="29">
        <f>IF($P$19="Hexagon",EU16,IF(OR($P$19="Kerbdrain150",$P$19="Kerbdrain280"),FA16,IF(OR($P$19="Channel100",$P$19="Channel150",$P$19="Channel200",$P$19="Channel430"),EW16,IF(AND($P$19="Oval",$CJ$11=0.15),FH16,IF(AND($P$19="Oval",$CJ$11=0.225),FH16,IF(AND($P$19="Oval",$CJ$11=0.35),FH16,IF(AND($P$19="Oval",$CJ$11=0.55),FH16,IF(AND($P$19="Oval",$CJ$11=0.7),FD16,IF(AND($P$19="Oval",$CJ$11=0.9),FD16,"")))))))))</f>
        <v>0</v>
      </c>
      <c r="FM16" s="29">
        <f>IF($P$19="Hexagon",EV16,IF(OR($P$19="Kerbdrain150",$P$19="Kerbdrain280"),FB16,IF(OR($P$19="Channel100",$P$19="Channel150",$P$19="Channel200",$P$19="Channel430"),EX16,IF(AND($P$19="Oval",$CJ$11=0.15),FI16,IF(AND($P$19="Oval",$CJ$11=0.225),FI16,IF(AND($P$19="Oval",$CJ$11=0.35),FI16,IF(AND($P$19="Oval",$CJ$11=0.55),FI16,IF(AND($P$19="Oval",$CJ$11=0.7),FE16,IF(AND($P$19="Oval",$CJ$11=0.9),FE16,"")))))))))</f>
        <v>0</v>
      </c>
      <c r="FP16" s="29">
        <f>IF(MAX(FL$5:FM$104)&lt;0.5,FL16*2,FL16)</f>
        <v>0</v>
      </c>
      <c r="FQ16" s="29">
        <f>IF(MAX(FL$5:FM$104)&lt;0.5,FM16*2,FM16)</f>
        <v>0</v>
      </c>
      <c r="FT16" s="29">
        <f>IF(AND(FP16=0,FQ16=0),FT15,FP16+(0.5*(1-MAX(FP$5:FP$104))))</f>
        <v>0.5</v>
      </c>
      <c r="FU16" s="29">
        <f>IF(AND(FP16=0,FQ16=0),FU15,FQ16+(0.5*(1-MAX(FQ$5:FQ$104))))</f>
        <v>0.21600000000000003</v>
      </c>
      <c r="GB16" s="51">
        <f t="shared" si="16"/>
        <v>0.26189456542128614</v>
      </c>
      <c r="GC16" s="51">
        <f t="shared" si="17"/>
        <v>6.5912595112982447E-2</v>
      </c>
      <c r="GE16" s="51">
        <v>165</v>
      </c>
      <c r="GF16" s="52">
        <f t="shared" si="3"/>
        <v>7.257799000428472E-3</v>
      </c>
      <c r="GG16" s="52">
        <f>(GG$4*SIN(GE16*PI()/180)+$CL$11)/2</f>
        <v>0.35750460880911594</v>
      </c>
      <c r="GH16" s="51">
        <v>165</v>
      </c>
      <c r="GI16" s="52">
        <f t="shared" si="4"/>
        <v>6.4513768892697498E-3</v>
      </c>
      <c r="GJ16" s="52">
        <f>(GJ$4*SIN(GH16*PI()/180)+$CL$11)/2</f>
        <v>0.35750460880911594</v>
      </c>
      <c r="GK16" s="51">
        <v>12</v>
      </c>
      <c r="GL16" s="51">
        <f t="shared" si="5"/>
        <v>0.7539822368615503</v>
      </c>
      <c r="GM16" s="51">
        <f>($M$66/2000)*SIN(GL16)+($M$66/2000)</f>
        <v>0.42113677648217218</v>
      </c>
      <c r="GN16" s="51">
        <f>($M$66/2000)*COS(GL16)+$M$66/2000</f>
        <v>0.43224215685535289</v>
      </c>
      <c r="GO16" s="52"/>
      <c r="GQ16" s="51">
        <f>IF($M$65="Hexagon",FZ16,IF(OR($M$65="Kerbdrain150",$M$65="Kerbdrain280"),GF16,IF(OR($M$65="Channel100",$M$65="Channel150",$M$65="Channel200",$M$65="Channel430"),GB16,IF(AND($M$65="Oval",$CL$11=0.15),GM16,IF(AND($M$65="Oval",$CL$11=0.225),GM16,IF(AND($M$65="Oval",$CL$11=0.35),GM16,IF(AND($M$65="Oval",$CL$11=0.55),GM16,IF(AND($M$65="Oval",$CL$11=0.7),GI16,IF(AND($M$65="Oval",$CL$11=0.9),GI16,"")))))))))</f>
        <v>0</v>
      </c>
      <c r="GR16" s="51">
        <f>IF($M$65="Hexagon",GA16,IF(OR($M$65="Kerbdrain150",$M$65="Kerbdrain280"),GG16,IF(OR($M$65="Channel100",$M$65="Channel150",$M$65="Channel200",$M$65="Channel430"),GC16,IF(AND($M$65="Oval",$CL$11=0.15),GN16,IF(AND($M$65="Oval",$CL$11=0.225),GN16,IF(AND($M$65="Oval",$CL$11=0.35),GN16,IF(AND($M$65="Oval",$CL$11=0.55),GN16,IF(AND($M$65="Oval",$CL$11=0.7),GJ16,IF(AND($M$65="Oval",$CL$11=0.9),GJ16,"")))))))))</f>
        <v>0</v>
      </c>
      <c r="GU16" s="51">
        <f>IF(MAX(GQ$5:GR$104)&lt;0.5,GQ16*2,GQ16)</f>
        <v>0</v>
      </c>
      <c r="GV16" s="51">
        <f>IF(MAX(GQ$5:GR$104)&lt;0.5,GR16*2,GR16)</f>
        <v>0</v>
      </c>
      <c r="GY16" s="51">
        <f>IF(AND(GU16=0,GV16=0),GY15,GU16+(0.5*(1-MAX(GU$5:GU$104))))</f>
        <v>0.5</v>
      </c>
      <c r="GZ16" s="51">
        <f>IF(AND(GU16=0,GV16=0),GZ15,GV16+(0.5*(1-MAX(GV$5:GV$104))))</f>
        <v>0.21600000000000003</v>
      </c>
    </row>
    <row r="17" spans="2:208" ht="15.75" thickBot="1">
      <c r="B17" s="9"/>
      <c r="C17" s="10"/>
      <c r="D17" s="10"/>
      <c r="E17" s="10"/>
      <c r="F17" s="11"/>
      <c r="G17" s="70"/>
      <c r="H17" s="38"/>
      <c r="I17" s="38"/>
      <c r="J17" s="38"/>
      <c r="K17" s="38"/>
      <c r="L17" s="38"/>
      <c r="M17" s="38"/>
      <c r="N17" s="38"/>
      <c r="O17" s="38"/>
      <c r="P17" s="38"/>
      <c r="Q17" s="38"/>
      <c r="R17" s="38"/>
      <c r="S17" s="38"/>
      <c r="T17" s="38"/>
      <c r="U17" s="41"/>
      <c r="V17" s="41"/>
      <c r="W17" s="41"/>
      <c r="X17" s="41"/>
      <c r="Y17" s="41"/>
      <c r="Z17" s="41"/>
      <c r="AA17" s="41"/>
      <c r="AB17" s="41"/>
      <c r="AC17" s="41"/>
      <c r="AD17" s="41"/>
      <c r="AE17" s="67"/>
      <c r="AF17" s="42"/>
      <c r="AG17" s="41"/>
      <c r="AH17" s="41"/>
      <c r="AI17" s="41"/>
      <c r="AJ17" s="4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I17" s="53" t="s">
        <v>79</v>
      </c>
      <c r="CJ17" s="29">
        <f>(2.66*CJ$12^1.25)*((6.74*(CJ$5/100)^0.7)+0.4+(CJ$6/CJ$11)*CJ$7)*1000</f>
        <v>141.9108105528544</v>
      </c>
      <c r="CK17" s="29" t="s">
        <v>2</v>
      </c>
      <c r="CM17" s="50">
        <v>550</v>
      </c>
      <c r="CN17" s="29">
        <v>0.55000000000000004</v>
      </c>
      <c r="CO17" s="50">
        <v>0.2001</v>
      </c>
      <c r="CQ17" s="29">
        <v>0.45200000000000001</v>
      </c>
      <c r="CR17" s="29">
        <v>0.55000000000000004</v>
      </c>
      <c r="CS17" s="29">
        <v>0.28000000000000003</v>
      </c>
      <c r="CT17" s="29">
        <v>0.33</v>
      </c>
      <c r="CU17" s="29">
        <v>0.315</v>
      </c>
      <c r="CV17" s="29">
        <v>0.55500000000000005</v>
      </c>
      <c r="CW17" s="29">
        <v>0.28499999999999998</v>
      </c>
      <c r="CX17" s="29">
        <v>0.55500000000000005</v>
      </c>
      <c r="DY17" s="50"/>
      <c r="EG17" s="29"/>
      <c r="EH17" s="29"/>
      <c r="EI17" s="29"/>
      <c r="EJ17" s="29"/>
      <c r="EK17" s="29"/>
      <c r="EL17" s="29"/>
      <c r="EM17" s="29"/>
      <c r="EN17" s="29"/>
      <c r="EO17" s="29"/>
      <c r="EW17" s="29">
        <f t="shared" si="10"/>
        <v>0.25688041320124255</v>
      </c>
      <c r="EX17" s="29">
        <f t="shared" si="11"/>
        <v>5.8534494174468835E-2</v>
      </c>
      <c r="EZ17" s="29">
        <v>180</v>
      </c>
      <c r="FA17" s="50">
        <f t="shared" si="1"/>
        <v>0</v>
      </c>
      <c r="FB17" s="50">
        <f>(FB$4*SIN(EZ17*PI()/180)+$CJ$11)/2</f>
        <v>0.28400000000000003</v>
      </c>
      <c r="FC17" s="29">
        <v>180</v>
      </c>
      <c r="FD17" s="50">
        <f t="shared" si="2"/>
        <v>0</v>
      </c>
      <c r="FE17" s="50">
        <f>(FE$4*SIN(FC17*PI()/180)+$CJ$11)/2</f>
        <v>0.28400000000000003</v>
      </c>
      <c r="FF17" s="29">
        <v>13</v>
      </c>
      <c r="FG17" s="29">
        <f t="shared" si="0"/>
        <v>0.81681408993334625</v>
      </c>
      <c r="FH17" s="29">
        <f>($P$20/2000)*SIN(FG17)+($P$20/2000)</f>
        <v>0.43224215685535289</v>
      </c>
      <c r="FI17" s="29">
        <f>($P$20/2000)*COS(FG17)+$P$20/2000</f>
        <v>0.42113677648217218</v>
      </c>
      <c r="FJ17" s="50"/>
      <c r="FL17" s="29">
        <f>IF($P$19="Hexagon",EU17,IF(OR($P$19="Kerbdrain150",$P$19="Kerbdrain280"),FA17,IF(OR($P$19="Channel100",$P$19="Channel150",$P$19="Channel200",$P$19="Channel430"),EW17,IF(AND($P$19="Oval",$CJ$11=0.15),FH17,IF(AND($P$19="Oval",$CJ$11=0.225),FH17,IF(AND($P$19="Oval",$CJ$11=0.35),FH17,IF(AND($P$19="Oval",$CJ$11=0.55),FH17,IF(AND($P$19="Oval",$CJ$11=0.7),FD17,IF(AND($P$19="Oval",$CJ$11=0.9),FD17,"")))))))))</f>
        <v>0</v>
      </c>
      <c r="FM17" s="29">
        <f>IF($P$19="Hexagon",EV17,IF(OR($P$19="Kerbdrain150",$P$19="Kerbdrain280"),FB17,IF(OR($P$19="Channel100",$P$19="Channel150",$P$19="Channel200",$P$19="Channel430"),EX17,IF(AND($P$19="Oval",$CJ$11=0.15),FI17,IF(AND($P$19="Oval",$CJ$11=0.225),FI17,IF(AND($P$19="Oval",$CJ$11=0.35),FI17,IF(AND($P$19="Oval",$CJ$11=0.55),FI17,IF(AND($P$19="Oval",$CJ$11=0.7),FE17,IF(AND($P$19="Oval",$CJ$11=0.9),FE17,"")))))))))</f>
        <v>0</v>
      </c>
      <c r="FP17" s="29">
        <f>IF(MAX(FL$5:FM$104)&lt;0.5,FL17*2,FL17)</f>
        <v>0</v>
      </c>
      <c r="FQ17" s="29">
        <f>IF(MAX(FL$5:FM$104)&lt;0.5,FM17*2,FM17)</f>
        <v>0</v>
      </c>
      <c r="FT17" s="29">
        <f>IF(AND(FP17=0,FQ17=0),FT16,FP17+(0.5*(1-MAX(FP$5:FP$104))))</f>
        <v>0.5</v>
      </c>
      <c r="FU17" s="29">
        <f>IF(AND(FP17=0,FQ17=0),FU16,FQ17+(0.5*(1-MAX(FQ$5:FQ$104))))</f>
        <v>0.21600000000000003</v>
      </c>
      <c r="GB17" s="51">
        <f t="shared" si="16"/>
        <v>0.25688041320124255</v>
      </c>
      <c r="GC17" s="51">
        <f t="shared" si="17"/>
        <v>5.8534494174468835E-2</v>
      </c>
      <c r="GE17" s="51">
        <v>180</v>
      </c>
      <c r="GF17" s="52">
        <f t="shared" si="3"/>
        <v>0</v>
      </c>
      <c r="GG17" s="52">
        <f>(GG$4*SIN(GE17*PI()/180)+$CL$11)/2</f>
        <v>0.28400000000000003</v>
      </c>
      <c r="GH17" s="51">
        <v>180</v>
      </c>
      <c r="GI17" s="52">
        <f t="shared" si="4"/>
        <v>0</v>
      </c>
      <c r="GJ17" s="52">
        <f>(GJ$4*SIN(GH17*PI()/180)+$CL$11)/2</f>
        <v>0.28400000000000003</v>
      </c>
      <c r="GK17" s="51">
        <v>13</v>
      </c>
      <c r="GL17" s="51">
        <f t="shared" si="5"/>
        <v>0.81681408993334625</v>
      </c>
      <c r="GM17" s="51">
        <f>($M$66/2000)*SIN(GL17)+($M$66/2000)</f>
        <v>0.43224215685535289</v>
      </c>
      <c r="GN17" s="51">
        <f>($M$66/2000)*COS(GL17)+$M$66/2000</f>
        <v>0.42113677648217218</v>
      </c>
      <c r="GO17" s="52"/>
      <c r="GQ17" s="51">
        <f>IF($M$65="Hexagon",FZ17,IF(OR($M$65="Kerbdrain150",$M$65="Kerbdrain280"),GF17,IF(OR($M$65="Channel100",$M$65="Channel150",$M$65="Channel200",$M$65="Channel430"),GB17,IF(AND($M$65="Oval",$CL$11=0.15),GM17,IF(AND($M$65="Oval",$CL$11=0.225),GM17,IF(AND($M$65="Oval",$CL$11=0.35),GM17,IF(AND($M$65="Oval",$CL$11=0.55),GM17,IF(AND($M$65="Oval",$CL$11=0.7),GI17,IF(AND($M$65="Oval",$CL$11=0.9),GI17,"")))))))))</f>
        <v>0</v>
      </c>
      <c r="GR17" s="51">
        <f>IF($M$65="Hexagon",GA17,IF(OR($M$65="Kerbdrain150",$M$65="Kerbdrain280"),GG17,IF(OR($M$65="Channel100",$M$65="Channel150",$M$65="Channel200",$M$65="Channel430"),GC17,IF(AND($M$65="Oval",$CL$11=0.15),GN17,IF(AND($M$65="Oval",$CL$11=0.225),GN17,IF(AND($M$65="Oval",$CL$11=0.35),GN17,IF(AND($M$65="Oval",$CL$11=0.55),GN17,IF(AND($M$65="Oval",$CL$11=0.7),GJ17,IF(AND($M$65="Oval",$CL$11=0.9),GJ17,"")))))))))</f>
        <v>0</v>
      </c>
      <c r="GU17" s="51">
        <f>IF(MAX(GQ$5:GR$104)&lt;0.5,GQ17*2,GQ17)</f>
        <v>0</v>
      </c>
      <c r="GV17" s="51">
        <f>IF(MAX(GQ$5:GR$104)&lt;0.5,GR17*2,GR17)</f>
        <v>0</v>
      </c>
      <c r="GY17" s="51">
        <f>IF(AND(GU17=0,GV17=0),GY16,GU17+(0.5*(1-MAX(GU$5:GU$104))))</f>
        <v>0.5</v>
      </c>
      <c r="GZ17" s="51">
        <f>IF(AND(GU17=0,GV17=0),GZ16,GV17+(0.5*(1-MAX(GV$5:GV$104))))</f>
        <v>0.21600000000000003</v>
      </c>
    </row>
    <row r="18" spans="2:208" ht="15.75" thickBot="1">
      <c r="B18" s="9"/>
      <c r="C18" s="10"/>
      <c r="D18" s="10"/>
      <c r="E18" s="10"/>
      <c r="F18" s="11"/>
      <c r="G18" s="70"/>
      <c r="H18" s="90" t="s">
        <v>106</v>
      </c>
      <c r="I18" s="131"/>
      <c r="J18" s="131"/>
      <c r="K18" s="131"/>
      <c r="L18" s="131"/>
      <c r="M18" s="131"/>
      <c r="N18" s="131"/>
      <c r="O18" s="131"/>
      <c r="P18" s="131"/>
      <c r="Q18" s="131"/>
      <c r="R18" s="131"/>
      <c r="S18" s="131"/>
      <c r="T18" s="132"/>
      <c r="U18" s="68"/>
      <c r="V18" s="41"/>
      <c r="W18" s="41"/>
      <c r="X18" s="41"/>
      <c r="Y18" s="41"/>
      <c r="Z18" s="41"/>
      <c r="AA18" s="41"/>
      <c r="AB18" s="41"/>
      <c r="AC18" s="41"/>
      <c r="AD18" s="41"/>
      <c r="AE18" s="67"/>
      <c r="AF18" s="42"/>
      <c r="AG18" s="41"/>
      <c r="AH18" s="41"/>
      <c r="AI18" s="41"/>
      <c r="AJ18" s="4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I18" s="53" t="str">
        <f>IF(CJ17&gt;CJ14,"Channel Capacity OK","Channel Inadequate, Choose a Larger Channel, Reduce Area or Consider Stepped Channel")</f>
        <v>Channel Capacity OK</v>
      </c>
      <c r="CM18" s="50">
        <v>700</v>
      </c>
      <c r="CN18" s="29">
        <v>0.7</v>
      </c>
      <c r="CO18" s="50">
        <v>0.32550000000000001</v>
      </c>
      <c r="CQ18" s="29">
        <v>0.56799999999999995</v>
      </c>
      <c r="CR18" s="29">
        <v>0.7</v>
      </c>
      <c r="CS18" s="29">
        <v>0.33</v>
      </c>
      <c r="CT18" s="29">
        <v>0.38</v>
      </c>
      <c r="CU18" s="50" t="s">
        <v>72</v>
      </c>
      <c r="CV18" s="50" t="s">
        <v>72</v>
      </c>
      <c r="CW18" s="50" t="s">
        <v>72</v>
      </c>
      <c r="CX18" s="50" t="s">
        <v>72</v>
      </c>
      <c r="DY18" s="50"/>
      <c r="EG18" s="29"/>
      <c r="EH18" s="29"/>
      <c r="EI18" s="29"/>
      <c r="EJ18" s="29"/>
      <c r="EK18" s="29"/>
      <c r="EL18" s="29"/>
      <c r="EM18" s="29"/>
      <c r="EN18" s="29"/>
      <c r="EO18" s="29"/>
      <c r="EW18" s="29">
        <f t="shared" si="10"/>
        <v>0.2514128804741621</v>
      </c>
      <c r="EX18" s="29">
        <f t="shared" si="11"/>
        <v>5.148579345568606E-2</v>
      </c>
      <c r="EZ18" s="29">
        <v>195</v>
      </c>
      <c r="FA18" s="50">
        <f t="shared" si="1"/>
        <v>7.2577990004284165E-3</v>
      </c>
      <c r="FB18" s="50">
        <f>(FB$4*SIN(EZ18*PI()/180)+$CJ$11)/2</f>
        <v>0.2104953911908842</v>
      </c>
      <c r="FC18" s="29">
        <v>195</v>
      </c>
      <c r="FD18" s="50">
        <f t="shared" si="2"/>
        <v>6.4513768892697221E-3</v>
      </c>
      <c r="FE18" s="50">
        <f>(FE$4*SIN(FC18*PI()/180)+$CJ$11)/2</f>
        <v>0.2104953911908842</v>
      </c>
      <c r="FF18" s="29">
        <v>14</v>
      </c>
      <c r="FG18" s="29">
        <f t="shared" si="0"/>
        <v>0.87964594300514221</v>
      </c>
      <c r="FH18" s="29">
        <f>($P$20/2000)*SIN(FG18)+($P$20/2000)</f>
        <v>0.44262831069394731</v>
      </c>
      <c r="FI18" s="29">
        <f>($P$20/2000)*COS(FG18)+$P$20/2000</f>
        <v>0.40935599743717244</v>
      </c>
      <c r="FJ18" s="50"/>
      <c r="FL18" s="29">
        <f>IF($P$19="Hexagon",EU18,IF(OR($P$19="Kerbdrain150",$P$19="Kerbdrain280"),FA18,IF(OR($P$19="Channel100",$P$19="Channel150",$P$19="Channel200",$P$19="Channel430"),EW18,IF(AND($P$19="Oval",$CJ$11=0.15),FH18,IF(AND($P$19="Oval",$CJ$11=0.225),FH18,IF(AND($P$19="Oval",$CJ$11=0.35),FH18,IF(AND($P$19="Oval",$CJ$11=0.55),FH18,IF(AND($P$19="Oval",$CJ$11=0.7),FD18,IF(AND($P$19="Oval",$CJ$11=0.9),FD18,"")))))))))</f>
        <v>0</v>
      </c>
      <c r="FM18" s="29">
        <f>IF($P$19="Hexagon",EV18,IF(OR($P$19="Kerbdrain150",$P$19="Kerbdrain280"),FB18,IF(OR($P$19="Channel100",$P$19="Channel150",$P$19="Channel200",$P$19="Channel430"),EX18,IF(AND($P$19="Oval",$CJ$11=0.15),FI18,IF(AND($P$19="Oval",$CJ$11=0.225),FI18,IF(AND($P$19="Oval",$CJ$11=0.35),FI18,IF(AND($P$19="Oval",$CJ$11=0.55),FI18,IF(AND($P$19="Oval",$CJ$11=0.7),FE18,IF(AND($P$19="Oval",$CJ$11=0.9),FE18,"")))))))))</f>
        <v>0</v>
      </c>
      <c r="FP18" s="29">
        <f>IF(MAX(FL$5:FM$104)&lt;0.5,FL18*2,FL18)</f>
        <v>0</v>
      </c>
      <c r="FQ18" s="29">
        <f>IF(MAX(FL$5:FM$104)&lt;0.5,FM18*2,FM18)</f>
        <v>0</v>
      </c>
      <c r="FT18" s="29">
        <f>IF(AND(FP18=0,FQ18=0),FT17,FP18+(0.5*(1-MAX(FP$5:FP$104))))</f>
        <v>0.5</v>
      </c>
      <c r="FU18" s="29">
        <f>IF(AND(FP18=0,FQ18=0),FU17,FQ18+(0.5*(1-MAX(FQ$5:FQ$104))))</f>
        <v>0.21600000000000003</v>
      </c>
      <c r="GB18" s="51">
        <f t="shared" si="16"/>
        <v>0.2514128804741621</v>
      </c>
      <c r="GC18" s="51">
        <f t="shared" si="17"/>
        <v>5.148579345568606E-2</v>
      </c>
      <c r="GE18" s="51">
        <v>195</v>
      </c>
      <c r="GF18" s="52">
        <f t="shared" si="3"/>
        <v>7.2577990004284165E-3</v>
      </c>
      <c r="GG18" s="52">
        <f>(GG$4*SIN(GE18*PI()/180)+$CL$11)/2</f>
        <v>0.2104953911908842</v>
      </c>
      <c r="GH18" s="51">
        <v>195</v>
      </c>
      <c r="GI18" s="52">
        <f t="shared" si="4"/>
        <v>6.4513768892697221E-3</v>
      </c>
      <c r="GJ18" s="52">
        <f>(GJ$4*SIN(GH18*PI()/180)+$CL$11)/2</f>
        <v>0.2104953911908842</v>
      </c>
      <c r="GK18" s="51">
        <v>14</v>
      </c>
      <c r="GL18" s="51">
        <f t="shared" si="5"/>
        <v>0.87964594300514221</v>
      </c>
      <c r="GM18" s="51">
        <f>($M$66/2000)*SIN(GL18)+($M$66/2000)</f>
        <v>0.44262831069394731</v>
      </c>
      <c r="GN18" s="51">
        <f>($M$66/2000)*COS(GL18)+$M$66/2000</f>
        <v>0.40935599743717244</v>
      </c>
      <c r="GO18" s="52"/>
      <c r="GQ18" s="51">
        <f>IF($M$65="Hexagon",FZ18,IF(OR($M$65="Kerbdrain150",$M$65="Kerbdrain280"),GF18,IF(OR($M$65="Channel100",$M$65="Channel150",$M$65="Channel200",$M$65="Channel430"),GB18,IF(AND($M$65="Oval",$CL$11=0.15),GM18,IF(AND($M$65="Oval",$CL$11=0.225),GM18,IF(AND($M$65="Oval",$CL$11=0.35),GM18,IF(AND($M$65="Oval",$CL$11=0.55),GM18,IF(AND($M$65="Oval",$CL$11=0.7),GI18,IF(AND($M$65="Oval",$CL$11=0.9),GI18,"")))))))))</f>
        <v>0</v>
      </c>
      <c r="GR18" s="51">
        <f>IF($M$65="Hexagon",GA18,IF(OR($M$65="Kerbdrain150",$M$65="Kerbdrain280"),GG18,IF(OR($M$65="Channel100",$M$65="Channel150",$M$65="Channel200",$M$65="Channel430"),GC18,IF(AND($M$65="Oval",$CL$11=0.15),GN18,IF(AND($M$65="Oval",$CL$11=0.225),GN18,IF(AND($M$65="Oval",$CL$11=0.35),GN18,IF(AND($M$65="Oval",$CL$11=0.55),GN18,IF(AND($M$65="Oval",$CL$11=0.7),GJ18,IF(AND($M$65="Oval",$CL$11=0.9),GJ18,"")))))))))</f>
        <v>0</v>
      </c>
      <c r="GU18" s="51">
        <f>IF(MAX(GQ$5:GR$104)&lt;0.5,GQ18*2,GQ18)</f>
        <v>0</v>
      </c>
      <c r="GV18" s="51">
        <f>IF(MAX(GQ$5:GR$104)&lt;0.5,GR18*2,GR18)</f>
        <v>0</v>
      </c>
      <c r="GY18" s="51">
        <f>IF(AND(GU18=0,GV18=0),GY17,GU18+(0.5*(1-MAX(GU$5:GU$104))))</f>
        <v>0.5</v>
      </c>
      <c r="GZ18" s="51">
        <f>IF(AND(GU18=0,GV18=0),GZ17,GV18+(0.5*(1-MAX(GV$5:GV$104))))</f>
        <v>0.21600000000000003</v>
      </c>
    </row>
    <row r="19" spans="2:208" ht="15.75" thickBot="1">
      <c r="B19" s="9"/>
      <c r="C19" s="10"/>
      <c r="D19" s="10"/>
      <c r="E19" s="10"/>
      <c r="F19" s="11"/>
      <c r="G19" s="70"/>
      <c r="H19" s="144" t="s">
        <v>107</v>
      </c>
      <c r="I19" s="145"/>
      <c r="J19" s="145"/>
      <c r="K19" s="145"/>
      <c r="L19" s="145"/>
      <c r="M19" s="145"/>
      <c r="N19" s="145"/>
      <c r="O19" s="145"/>
      <c r="P19" s="272" t="s">
        <v>55</v>
      </c>
      <c r="Q19" s="273"/>
      <c r="R19" s="273"/>
      <c r="S19" s="273"/>
      <c r="T19" s="274"/>
      <c r="U19" s="68"/>
      <c r="V19" s="41"/>
      <c r="W19" s="41"/>
      <c r="X19" s="41"/>
      <c r="Y19" s="41"/>
      <c r="Z19" s="41"/>
      <c r="AA19" s="41"/>
      <c r="AB19" s="41"/>
      <c r="AC19" s="41"/>
      <c r="AD19" s="41"/>
      <c r="AE19" s="67"/>
      <c r="AF19" s="42"/>
      <c r="AG19" s="41"/>
      <c r="AH19" s="41"/>
      <c r="AI19" s="41"/>
      <c r="AJ19" s="4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M19" s="50">
        <v>900</v>
      </c>
      <c r="CN19" s="50">
        <v>0.9</v>
      </c>
      <c r="CO19" s="50">
        <v>0.40500000000000003</v>
      </c>
      <c r="CQ19" s="29">
        <v>0.83099999999999996</v>
      </c>
      <c r="CR19" s="50">
        <v>0.9</v>
      </c>
      <c r="CS19" s="50" t="s">
        <v>72</v>
      </c>
      <c r="CT19" s="50" t="s">
        <v>72</v>
      </c>
      <c r="CU19" s="50" t="s">
        <v>72</v>
      </c>
      <c r="CV19" s="50" t="s">
        <v>72</v>
      </c>
      <c r="CW19" s="50" t="s">
        <v>72</v>
      </c>
      <c r="CX19" s="50" t="s">
        <v>72</v>
      </c>
      <c r="DY19" s="50"/>
      <c r="EG19" s="29" t="s">
        <v>36</v>
      </c>
      <c r="EH19" s="29" t="s">
        <v>16</v>
      </c>
      <c r="EI19" s="29" t="s">
        <v>37</v>
      </c>
      <c r="EJ19" s="29"/>
      <c r="EK19" s="29"/>
      <c r="EL19" s="29"/>
      <c r="EM19" s="29"/>
      <c r="EN19" s="29"/>
      <c r="EO19" s="29"/>
      <c r="EW19" s="29">
        <f t="shared" si="10"/>
        <v>0.24551354509384044</v>
      </c>
      <c r="EX19" s="29">
        <f t="shared" si="11"/>
        <v>4.4794310958126207E-2</v>
      </c>
      <c r="EZ19" s="29">
        <v>210</v>
      </c>
      <c r="FA19" s="50">
        <f t="shared" si="1"/>
        <v>2.8536588993914563E-2</v>
      </c>
      <c r="FB19" s="50">
        <f>(FB$4*SIN(EZ19*PI()/180)+$CJ$11)/2</f>
        <v>0.14199999999999996</v>
      </c>
      <c r="FC19" s="29">
        <v>210</v>
      </c>
      <c r="FD19" s="50">
        <f t="shared" si="2"/>
        <v>2.5365856883479615E-2</v>
      </c>
      <c r="FE19" s="50">
        <f>(FE$4*SIN(FC19*PI()/180)+$CJ$11)/2</f>
        <v>0.14199999999999996</v>
      </c>
      <c r="FF19" s="29">
        <v>15</v>
      </c>
      <c r="FG19" s="29">
        <f t="shared" si="0"/>
        <v>0.94247779607693793</v>
      </c>
      <c r="FH19" s="29">
        <f>($P$20/2000)*SIN(FG19)+($P$20/2000)</f>
        <v>0.45225424859373686</v>
      </c>
      <c r="FI19" s="29">
        <f>($P$20/2000)*COS(FG19)+$P$20/2000</f>
        <v>0.39694631307311828</v>
      </c>
      <c r="FJ19" s="50"/>
      <c r="FL19" s="29">
        <f>IF($P$19="Hexagon",EU19,IF(OR($P$19="Kerbdrain150",$P$19="Kerbdrain280"),FA19,IF(OR($P$19="Channel100",$P$19="Channel150",$P$19="Channel200",$P$19="Channel430"),EW19,IF(AND($P$19="Oval",$CJ$11=0.15),FH19,IF(AND($P$19="Oval",$CJ$11=0.225),FH19,IF(AND($P$19="Oval",$CJ$11=0.35),FH19,IF(AND($P$19="Oval",$CJ$11=0.55),FH19,IF(AND($P$19="Oval",$CJ$11=0.7),FD19,IF(AND($P$19="Oval",$CJ$11=0.9),FD19,"")))))))))</f>
        <v>0</v>
      </c>
      <c r="FM19" s="29">
        <f>IF($P$19="Hexagon",EV19,IF(OR($P$19="Kerbdrain150",$P$19="Kerbdrain280"),FB19,IF(OR($P$19="Channel100",$P$19="Channel150",$P$19="Channel200",$P$19="Channel430"),EX19,IF(AND($P$19="Oval",$CJ$11=0.15),FI19,IF(AND($P$19="Oval",$CJ$11=0.225),FI19,IF(AND($P$19="Oval",$CJ$11=0.35),FI19,IF(AND($P$19="Oval",$CJ$11=0.55),FI19,IF(AND($P$19="Oval",$CJ$11=0.7),FE19,IF(AND($P$19="Oval",$CJ$11=0.9),FE19,"")))))))))</f>
        <v>0</v>
      </c>
      <c r="FP19" s="29">
        <f>IF(MAX(FL$5:FM$104)&lt;0.5,FL19*2,FL19)</f>
        <v>0</v>
      </c>
      <c r="FQ19" s="29">
        <f>IF(MAX(FL$5:FM$104)&lt;0.5,FM19*2,FM19)</f>
        <v>0</v>
      </c>
      <c r="FT19" s="29">
        <f>IF(AND(FP19=0,FQ19=0),FT18,FP19+(0.5*(1-MAX(FP$5:FP$104))))</f>
        <v>0.5</v>
      </c>
      <c r="FU19" s="29">
        <f>IF(AND(FP19=0,FQ19=0),FU18,FQ19+(0.5*(1-MAX(FQ$5:FQ$104))))</f>
        <v>0.21600000000000003</v>
      </c>
      <c r="GB19" s="51">
        <f t="shared" si="16"/>
        <v>0.24551354509384044</v>
      </c>
      <c r="GC19" s="51">
        <f t="shared" si="17"/>
        <v>4.4794310958126207E-2</v>
      </c>
      <c r="GE19" s="51">
        <v>210</v>
      </c>
      <c r="GF19" s="52">
        <f t="shared" si="3"/>
        <v>2.8536588993914563E-2</v>
      </c>
      <c r="GG19" s="52">
        <f>(GG$4*SIN(GE19*PI()/180)+$CL$11)/2</f>
        <v>0.14199999999999996</v>
      </c>
      <c r="GH19" s="51">
        <v>210</v>
      </c>
      <c r="GI19" s="52">
        <f t="shared" si="4"/>
        <v>2.5365856883479615E-2</v>
      </c>
      <c r="GJ19" s="52">
        <f>(GJ$4*SIN(GH19*PI()/180)+$CL$11)/2</f>
        <v>0.14199999999999996</v>
      </c>
      <c r="GK19" s="51">
        <v>15</v>
      </c>
      <c r="GL19" s="51">
        <f t="shared" si="5"/>
        <v>0.94247779607693793</v>
      </c>
      <c r="GM19" s="51">
        <f>($M$66/2000)*SIN(GL19)+($M$66/2000)</f>
        <v>0.45225424859373686</v>
      </c>
      <c r="GN19" s="51">
        <f>($M$66/2000)*COS(GL19)+$M$66/2000</f>
        <v>0.39694631307311828</v>
      </c>
      <c r="GO19" s="52"/>
      <c r="GQ19" s="51">
        <f>IF($M$65="Hexagon",FZ19,IF(OR($M$65="Kerbdrain150",$M$65="Kerbdrain280"),GF19,IF(OR($M$65="Channel100",$M$65="Channel150",$M$65="Channel200",$M$65="Channel430"),GB19,IF(AND($M$65="Oval",$CL$11=0.15),GM19,IF(AND($M$65="Oval",$CL$11=0.225),GM19,IF(AND($M$65="Oval",$CL$11=0.35),GM19,IF(AND($M$65="Oval",$CL$11=0.55),GM19,IF(AND($M$65="Oval",$CL$11=0.7),GI19,IF(AND($M$65="Oval",$CL$11=0.9),GI19,"")))))))))</f>
        <v>0</v>
      </c>
      <c r="GR19" s="51">
        <f>IF($M$65="Hexagon",GA19,IF(OR($M$65="Kerbdrain150",$M$65="Kerbdrain280"),GG19,IF(OR($M$65="Channel100",$M$65="Channel150",$M$65="Channel200",$M$65="Channel430"),GC19,IF(AND($M$65="Oval",$CL$11=0.15),GN19,IF(AND($M$65="Oval",$CL$11=0.225),GN19,IF(AND($M$65="Oval",$CL$11=0.35),GN19,IF(AND($M$65="Oval",$CL$11=0.55),GN19,IF(AND($M$65="Oval",$CL$11=0.7),GJ19,IF(AND($M$65="Oval",$CL$11=0.9),GJ19,"")))))))))</f>
        <v>0</v>
      </c>
      <c r="GU19" s="51">
        <f>IF(MAX(GQ$5:GR$104)&lt;0.5,GQ19*2,GQ19)</f>
        <v>0</v>
      </c>
      <c r="GV19" s="51">
        <f>IF(MAX(GQ$5:GR$104)&lt;0.5,GR19*2,GR19)</f>
        <v>0</v>
      </c>
      <c r="GY19" s="51">
        <f>IF(AND(GU19=0,GV19=0),GY18,GU19+(0.5*(1-MAX(GU$5:GU$104))))</f>
        <v>0.5</v>
      </c>
      <c r="GZ19" s="51">
        <f>IF(AND(GU19=0,GV19=0),GZ18,GV19+(0.5*(1-MAX(GV$5:GV$104))))</f>
        <v>0.21600000000000003</v>
      </c>
    </row>
    <row r="20" spans="2:208" ht="15.75" thickBot="1">
      <c r="B20" s="9"/>
      <c r="C20" s="10"/>
      <c r="D20" s="10"/>
      <c r="E20" s="10"/>
      <c r="F20" s="11"/>
      <c r="G20" s="70"/>
      <c r="H20" s="171" t="str">
        <f>IF(P19="Custom","","Channel Size")</f>
        <v>Channel Size</v>
      </c>
      <c r="I20" s="178"/>
      <c r="J20" s="178"/>
      <c r="K20" s="178"/>
      <c r="L20" s="178"/>
      <c r="M20" s="178"/>
      <c r="N20" s="178"/>
      <c r="O20" s="178"/>
      <c r="P20" s="268">
        <v>500</v>
      </c>
      <c r="Q20" s="275"/>
      <c r="R20" s="275"/>
      <c r="S20" s="275"/>
      <c r="T20" s="276"/>
      <c r="U20" s="68"/>
      <c r="V20" s="41"/>
      <c r="W20" s="41"/>
      <c r="X20" s="41"/>
      <c r="Y20" s="41"/>
      <c r="Z20" s="41"/>
      <c r="AA20" s="41"/>
      <c r="AB20" s="41"/>
      <c r="AC20" s="41"/>
      <c r="AD20" s="41"/>
      <c r="AE20" s="67"/>
      <c r="AF20" s="42"/>
      <c r="AG20" s="41"/>
      <c r="AH20" s="41"/>
      <c r="AI20" s="41"/>
      <c r="AJ20" s="4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29" t="s">
        <v>80</v>
      </c>
      <c r="DY20" s="50"/>
      <c r="ED20" s="29" t="e">
        <f>MATCH(#REF!,EH5:EH16)+1</f>
        <v>#REF!</v>
      </c>
      <c r="EE20" s="29"/>
      <c r="EG20" s="29"/>
      <c r="EH20" s="29"/>
      <c r="EI20" s="29">
        <v>5</v>
      </c>
      <c r="EJ20" s="29">
        <v>10</v>
      </c>
      <c r="EK20" s="29">
        <v>15</v>
      </c>
      <c r="EL20" s="29">
        <v>30</v>
      </c>
      <c r="EM20" s="29">
        <v>45</v>
      </c>
      <c r="EN20" s="29">
        <v>60</v>
      </c>
      <c r="EO20" s="29">
        <v>120</v>
      </c>
      <c r="EP20" s="29">
        <v>240</v>
      </c>
      <c r="EQ20" s="29">
        <v>480</v>
      </c>
      <c r="EW20" s="29">
        <f t="shared" si="10"/>
        <v>0.23920568904187384</v>
      </c>
      <c r="EX20" s="29">
        <f t="shared" si="11"/>
        <v>3.8486454906159595E-2</v>
      </c>
      <c r="EZ20" s="29">
        <v>225</v>
      </c>
      <c r="FA20" s="50">
        <f t="shared" si="1"/>
        <v>6.2386255607265323E-2</v>
      </c>
      <c r="FB20" s="50">
        <f>(FB$4*SIN(EZ20*PI()/180)+$CJ$11)/2</f>
        <v>8.3181674143020523E-2</v>
      </c>
      <c r="FC20" s="29">
        <v>225</v>
      </c>
      <c r="FD20" s="50">
        <f t="shared" si="2"/>
        <v>5.5454449428680302E-2</v>
      </c>
      <c r="FE20" s="50">
        <f>(FE$4*SIN(FC20*PI()/180)+$CJ$11)/2</f>
        <v>8.3181674143020523E-2</v>
      </c>
      <c r="FF20" s="29">
        <v>16</v>
      </c>
      <c r="FG20" s="29">
        <f t="shared" si="0"/>
        <v>1.0053096491487339</v>
      </c>
      <c r="FH20" s="29">
        <f>($P$20/2000)*SIN(FG20)+($P$20/2000)</f>
        <v>0.46108198137550377</v>
      </c>
      <c r="FI20" s="29">
        <f>($P$20/2000)*COS(FG20)+$P$20/2000</f>
        <v>0.38395669874474914</v>
      </c>
      <c r="FJ20" s="50"/>
      <c r="FL20" s="29">
        <f>IF($P$19="Hexagon",EU20,IF(OR($P$19="Kerbdrain150",$P$19="Kerbdrain280"),FA20,IF(OR($P$19="Channel100",$P$19="Channel150",$P$19="Channel200",$P$19="Channel430"),EW20,IF(AND($P$19="Oval",$CJ$11=0.15),FH20,IF(AND($P$19="Oval",$CJ$11=0.225),FH20,IF(AND($P$19="Oval",$CJ$11=0.35),FH20,IF(AND($P$19="Oval",$CJ$11=0.55),FH20,IF(AND($P$19="Oval",$CJ$11=0.7),FD20,IF(AND($P$19="Oval",$CJ$11=0.9),FD20,"")))))))))</f>
        <v>0</v>
      </c>
      <c r="FM20" s="29">
        <f>IF($P$19="Hexagon",EV20,IF(OR($P$19="Kerbdrain150",$P$19="Kerbdrain280"),FB20,IF(OR($P$19="Channel100",$P$19="Channel150",$P$19="Channel200",$P$19="Channel430"),EX20,IF(AND($P$19="Oval",$CJ$11=0.15),FI20,IF(AND($P$19="Oval",$CJ$11=0.225),FI20,IF(AND($P$19="Oval",$CJ$11=0.35),FI20,IF(AND($P$19="Oval",$CJ$11=0.55),FI20,IF(AND($P$19="Oval",$CJ$11=0.7),FE20,IF(AND($P$19="Oval",$CJ$11=0.9),FE20,"")))))))))</f>
        <v>0</v>
      </c>
      <c r="FP20" s="29">
        <f>IF(MAX(FL$5:FM$104)&lt;0.5,FL20*2,FL20)</f>
        <v>0</v>
      </c>
      <c r="FQ20" s="29">
        <f>IF(MAX(FL$5:FM$104)&lt;0.5,FM20*2,FM20)</f>
        <v>0</v>
      </c>
      <c r="FT20" s="29">
        <f>IF(AND(FP20=0,FQ20=0),FT19,FP20+(0.5*(1-MAX(FP$5:FP$104))))</f>
        <v>0.5</v>
      </c>
      <c r="FU20" s="29">
        <f>IF(AND(FP20=0,FQ20=0),FU19,FQ20+(0.5*(1-MAX(FQ$5:FQ$104))))</f>
        <v>0.21600000000000003</v>
      </c>
      <c r="GB20" s="51">
        <f t="shared" si="16"/>
        <v>0.23920568904187384</v>
      </c>
      <c r="GC20" s="51">
        <f t="shared" si="17"/>
        <v>3.8486454906159595E-2</v>
      </c>
      <c r="GE20" s="51">
        <v>225</v>
      </c>
      <c r="GF20" s="52">
        <f t="shared" si="3"/>
        <v>6.2386255607265323E-2</v>
      </c>
      <c r="GG20" s="52">
        <f>(GG$4*SIN(GE20*PI()/180)+$CL$11)/2</f>
        <v>8.3181674143020523E-2</v>
      </c>
      <c r="GH20" s="51">
        <v>225</v>
      </c>
      <c r="GI20" s="52">
        <f t="shared" si="4"/>
        <v>5.5454449428680302E-2</v>
      </c>
      <c r="GJ20" s="52">
        <f>(GJ$4*SIN(GH20*PI()/180)+$CL$11)/2</f>
        <v>8.3181674143020523E-2</v>
      </c>
      <c r="GK20" s="51">
        <v>16</v>
      </c>
      <c r="GL20" s="51">
        <f t="shared" si="5"/>
        <v>1.0053096491487339</v>
      </c>
      <c r="GM20" s="51">
        <f>($M$66/2000)*SIN(GL20)+($M$66/2000)</f>
        <v>0.46108198137550377</v>
      </c>
      <c r="GN20" s="51">
        <f>($M$66/2000)*COS(GL20)+$M$66/2000</f>
        <v>0.38395669874474914</v>
      </c>
      <c r="GO20" s="52"/>
      <c r="GQ20" s="51">
        <f>IF($M$65="Hexagon",FZ20,IF(OR($M$65="Kerbdrain150",$M$65="Kerbdrain280"),GF20,IF(OR($M$65="Channel100",$M$65="Channel150",$M$65="Channel200",$M$65="Channel430"),GB20,IF(AND($M$65="Oval",$CL$11=0.15),GM20,IF(AND($M$65="Oval",$CL$11=0.225),GM20,IF(AND($M$65="Oval",$CL$11=0.35),GM20,IF(AND($M$65="Oval",$CL$11=0.55),GM20,IF(AND($M$65="Oval",$CL$11=0.7),GI20,IF(AND($M$65="Oval",$CL$11=0.9),GI20,"")))))))))</f>
        <v>0</v>
      </c>
      <c r="GR20" s="51">
        <f>IF($M$65="Hexagon",GA20,IF(OR($M$65="Kerbdrain150",$M$65="Kerbdrain280"),GG20,IF(OR($M$65="Channel100",$M$65="Channel150",$M$65="Channel200",$M$65="Channel430"),GC20,IF(AND($M$65="Oval",$CL$11=0.15),GN20,IF(AND($M$65="Oval",$CL$11=0.225),GN20,IF(AND($M$65="Oval",$CL$11=0.35),GN20,IF(AND($M$65="Oval",$CL$11=0.55),GN20,IF(AND($M$65="Oval",$CL$11=0.7),GJ20,IF(AND($M$65="Oval",$CL$11=0.9),GJ20,"")))))))))</f>
        <v>0</v>
      </c>
      <c r="GU20" s="51">
        <f>IF(MAX(GQ$5:GR$104)&lt;0.5,GQ20*2,GQ20)</f>
        <v>0</v>
      </c>
      <c r="GV20" s="51">
        <f>IF(MAX(GQ$5:GR$104)&lt;0.5,GR20*2,GR20)</f>
        <v>0</v>
      </c>
      <c r="GY20" s="51">
        <f>IF(AND(GU20=0,GV20=0),GY19,GU20+(0.5*(1-MAX(GU$5:GU$104))))</f>
        <v>0.5</v>
      </c>
      <c r="GZ20" s="51">
        <f>IF(AND(GU20=0,GV20=0),GZ19,GV20+(0.5*(1-MAX(GV$5:GV$104))))</f>
        <v>0.21600000000000003</v>
      </c>
    </row>
    <row r="21" spans="2:208" ht="15.75" thickBot="1">
      <c r="B21" s="9"/>
      <c r="C21" s="10"/>
      <c r="D21" s="10"/>
      <c r="E21" s="10"/>
      <c r="F21" s="11"/>
      <c r="G21" s="70"/>
      <c r="H21" s="83" t="str">
        <f>IF(P19="Custom","Max Water Height","")</f>
        <v/>
      </c>
      <c r="I21" s="84"/>
      <c r="J21" s="84"/>
      <c r="K21" s="84"/>
      <c r="L21" s="84"/>
      <c r="M21" s="84"/>
      <c r="N21" s="84"/>
      <c r="O21" s="92"/>
      <c r="P21" s="282">
        <v>0.5</v>
      </c>
      <c r="Q21" s="283"/>
      <c r="R21" s="284"/>
      <c r="S21" s="166" t="s">
        <v>1</v>
      </c>
      <c r="T21" s="167"/>
      <c r="U21" s="41"/>
      <c r="V21" s="41"/>
      <c r="W21" s="41"/>
      <c r="X21" s="41"/>
      <c r="Y21" s="41"/>
      <c r="Z21" s="41"/>
      <c r="AA21" s="41"/>
      <c r="AB21" s="41"/>
      <c r="AC21" s="41"/>
      <c r="AD21" s="41"/>
      <c r="AE21" s="67"/>
      <c r="AF21" s="42"/>
      <c r="AG21" s="41"/>
      <c r="AH21" s="41"/>
      <c r="AI21" s="41"/>
      <c r="AJ21" s="4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I21" s="53" t="s">
        <v>81</v>
      </c>
      <c r="CJ21" s="56">
        <f>CL11-HLOOKUP(M65,CQ13:CX19,2,FALSE)</f>
        <v>0.40199999999999991</v>
      </c>
      <c r="CK21" s="29" t="s">
        <v>71</v>
      </c>
      <c r="CM21" s="29" t="s">
        <v>82</v>
      </c>
      <c r="CQ21" s="50" t="s">
        <v>55</v>
      </c>
      <c r="CR21" s="50" t="s">
        <v>58</v>
      </c>
      <c r="CS21" s="50" t="s">
        <v>59</v>
      </c>
      <c r="CT21" s="50" t="s">
        <v>60</v>
      </c>
      <c r="CU21" s="50" t="s">
        <v>61</v>
      </c>
      <c r="CV21" s="50" t="s">
        <v>62</v>
      </c>
      <c r="CW21" s="50" t="s">
        <v>63</v>
      </c>
      <c r="CX21" s="50" t="s">
        <v>64</v>
      </c>
      <c r="DY21" s="50"/>
      <c r="ED21" s="29"/>
      <c r="EE21" s="29"/>
      <c r="EG21" s="29" t="s">
        <v>38</v>
      </c>
      <c r="EH21" s="29">
        <v>1</v>
      </c>
      <c r="EI21" s="29">
        <v>47.9</v>
      </c>
      <c r="EJ21" s="29">
        <v>33.200000000000003</v>
      </c>
      <c r="EK21" s="29">
        <v>26.2</v>
      </c>
      <c r="EL21" s="29">
        <v>16.8</v>
      </c>
      <c r="EM21" s="29">
        <v>12.8</v>
      </c>
      <c r="EN21" s="29">
        <v>10.6</v>
      </c>
      <c r="EO21" s="29">
        <v>6.5</v>
      </c>
      <c r="EP21" s="29">
        <v>4</v>
      </c>
      <c r="EQ21" s="29">
        <v>2</v>
      </c>
      <c r="EW21" s="29">
        <f t="shared" si="10"/>
        <v>0.23251420654431398</v>
      </c>
      <c r="EX21" s="29">
        <f t="shared" si="11"/>
        <v>3.258711952583794E-2</v>
      </c>
      <c r="EZ21" s="29">
        <v>240</v>
      </c>
      <c r="FA21" s="50">
        <f t="shared" si="1"/>
        <v>0.10649999999999989</v>
      </c>
      <c r="FB21" s="50">
        <f>(FB$4*SIN(EZ21*PI()/180)+$CJ$11)/2</f>
        <v>3.8048785325219492E-2</v>
      </c>
      <c r="FC21" s="29">
        <v>240</v>
      </c>
      <c r="FD21" s="50">
        <f t="shared" si="2"/>
        <v>9.466666666666658E-2</v>
      </c>
      <c r="FE21" s="50">
        <f>(FE$4*SIN(FC21*PI()/180)+$CJ$11)/2</f>
        <v>3.8048785325219492E-2</v>
      </c>
      <c r="FF21" s="29">
        <v>17</v>
      </c>
      <c r="FG21" s="29">
        <f t="shared" si="0"/>
        <v>1.0681415022205298</v>
      </c>
      <c r="FH21" s="29">
        <f>($P$20/2000)*SIN(FG21)+($P$20/2000)</f>
        <v>0.46907667001096592</v>
      </c>
      <c r="FI21" s="29">
        <f>($P$20/2000)*COS(FG21)+$P$20/2000</f>
        <v>0.3704384185254288</v>
      </c>
      <c r="FJ21" s="50"/>
      <c r="FL21" s="29">
        <f>IF($P$19="Hexagon",EU21,IF(OR($P$19="Kerbdrain150",$P$19="Kerbdrain280"),FA21,IF(OR($P$19="Channel100",$P$19="Channel150",$P$19="Channel200",$P$19="Channel430"),EW21,IF(AND($P$19="Oval",$CJ$11=0.15),FH21,IF(AND($P$19="Oval",$CJ$11=0.225),FH21,IF(AND($P$19="Oval",$CJ$11=0.35),FH21,IF(AND($P$19="Oval",$CJ$11=0.55),FH21,IF(AND($P$19="Oval",$CJ$11=0.7),FD21,IF(AND($P$19="Oval",$CJ$11=0.9),FD21,"")))))))))</f>
        <v>0</v>
      </c>
      <c r="FM21" s="29">
        <f>IF($P$19="Hexagon",EV21,IF(OR($P$19="Kerbdrain150",$P$19="Kerbdrain280"),FB21,IF(OR($P$19="Channel100",$P$19="Channel150",$P$19="Channel200",$P$19="Channel430"),EX21,IF(AND($P$19="Oval",$CJ$11=0.15),FI21,IF(AND($P$19="Oval",$CJ$11=0.225),FI21,IF(AND($P$19="Oval",$CJ$11=0.35),FI21,IF(AND($P$19="Oval",$CJ$11=0.55),FI21,IF(AND($P$19="Oval",$CJ$11=0.7),FE21,IF(AND($P$19="Oval",$CJ$11=0.9),FE21,"")))))))))</f>
        <v>0</v>
      </c>
      <c r="FP21" s="29">
        <f>IF(MAX(FL$5:FM$104)&lt;0.5,FL21*2,FL21)</f>
        <v>0</v>
      </c>
      <c r="FQ21" s="29">
        <f>IF(MAX(FL$5:FM$104)&lt;0.5,FM21*2,FM21)</f>
        <v>0</v>
      </c>
      <c r="FT21" s="29">
        <f>IF(AND(FP21=0,FQ21=0),FT20,FP21+(0.5*(1-MAX(FP$5:FP$104))))</f>
        <v>0.5</v>
      </c>
      <c r="FU21" s="29">
        <f>IF(AND(FP21=0,FQ21=0),FU20,FQ21+(0.5*(1-MAX(FQ$5:FQ$104))))</f>
        <v>0.21600000000000003</v>
      </c>
      <c r="GB21" s="51">
        <f t="shared" si="16"/>
        <v>0.23251420654431398</v>
      </c>
      <c r="GC21" s="51">
        <f t="shared" si="17"/>
        <v>3.258711952583794E-2</v>
      </c>
      <c r="GE21" s="51">
        <v>240</v>
      </c>
      <c r="GF21" s="52">
        <f t="shared" si="3"/>
        <v>0.10649999999999989</v>
      </c>
      <c r="GG21" s="52">
        <f>(GG$4*SIN(GE21*PI()/180)+$CL$11)/2</f>
        <v>3.8048785325219492E-2</v>
      </c>
      <c r="GH21" s="51">
        <v>240</v>
      </c>
      <c r="GI21" s="52">
        <f t="shared" si="4"/>
        <v>9.466666666666658E-2</v>
      </c>
      <c r="GJ21" s="52">
        <f>(GJ$4*SIN(GH21*PI()/180)+$CL$11)/2</f>
        <v>3.8048785325219492E-2</v>
      </c>
      <c r="GK21" s="51">
        <v>17</v>
      </c>
      <c r="GL21" s="51">
        <f t="shared" si="5"/>
        <v>1.0681415022205298</v>
      </c>
      <c r="GM21" s="51">
        <f>($M$66/2000)*SIN(GL21)+($M$66/2000)</f>
        <v>0.46907667001096592</v>
      </c>
      <c r="GN21" s="51">
        <f>($M$66/2000)*COS(GL21)+$M$66/2000</f>
        <v>0.3704384185254288</v>
      </c>
      <c r="GO21" s="52"/>
      <c r="GQ21" s="51">
        <f>IF($M$65="Hexagon",FZ21,IF(OR($M$65="Kerbdrain150",$M$65="Kerbdrain280"),GF21,IF(OR($M$65="Channel100",$M$65="Channel150",$M$65="Channel200",$M$65="Channel430"),GB21,IF(AND($M$65="Oval",$CL$11=0.15),GM21,IF(AND($M$65="Oval",$CL$11=0.225),GM21,IF(AND($M$65="Oval",$CL$11=0.35),GM21,IF(AND($M$65="Oval",$CL$11=0.55),GM21,IF(AND($M$65="Oval",$CL$11=0.7),GI21,IF(AND($M$65="Oval",$CL$11=0.9),GI21,"")))))))))</f>
        <v>0</v>
      </c>
      <c r="GR21" s="51">
        <f>IF($M$65="Hexagon",GA21,IF(OR($M$65="Kerbdrain150",$M$65="Kerbdrain280"),GG21,IF(OR($M$65="Channel100",$M$65="Channel150",$M$65="Channel200",$M$65="Channel430"),GC21,IF(AND($M$65="Oval",$CL$11=0.15),GN21,IF(AND($M$65="Oval",$CL$11=0.225),GN21,IF(AND($M$65="Oval",$CL$11=0.35),GN21,IF(AND($M$65="Oval",$CL$11=0.55),GN21,IF(AND($M$65="Oval",$CL$11=0.7),GJ21,IF(AND($M$65="Oval",$CL$11=0.9),GJ21,"")))))))))</f>
        <v>0</v>
      </c>
      <c r="GU21" s="51">
        <f>IF(MAX(GQ$5:GR$104)&lt;0.5,GQ21*2,GQ21)</f>
        <v>0</v>
      </c>
      <c r="GV21" s="51">
        <f>IF(MAX(GQ$5:GR$104)&lt;0.5,GR21*2,GR21)</f>
        <v>0</v>
      </c>
      <c r="GY21" s="51">
        <f>IF(AND(GU21=0,GV21=0),GY20,GU21+(0.5*(1-MAX(GU$5:GU$104))))</f>
        <v>0.5</v>
      </c>
      <c r="GZ21" s="51">
        <f>IF(AND(GU21=0,GV21=0),GZ20,GV21+(0.5*(1-MAX(GV$5:GV$104))))</f>
        <v>0.21600000000000003</v>
      </c>
    </row>
    <row r="22" spans="2:208" ht="15.75" thickBot="1">
      <c r="B22" s="9"/>
      <c r="C22" s="10"/>
      <c r="D22" s="10"/>
      <c r="E22" s="10"/>
      <c r="F22" s="11"/>
      <c r="G22" s="70"/>
      <c r="H22" s="93" t="str">
        <f>IF(P19="Custom","Channel Cross Section","")</f>
        <v/>
      </c>
      <c r="I22" s="94"/>
      <c r="J22" s="94"/>
      <c r="K22" s="94"/>
      <c r="L22" s="94"/>
      <c r="M22" s="94"/>
      <c r="N22" s="94"/>
      <c r="O22" s="95"/>
      <c r="P22" s="282">
        <v>0.3</v>
      </c>
      <c r="Q22" s="283"/>
      <c r="R22" s="284"/>
      <c r="S22" s="168" t="s">
        <v>13</v>
      </c>
      <c r="T22" s="169"/>
      <c r="U22" s="41"/>
      <c r="V22" s="41"/>
      <c r="W22" s="41"/>
      <c r="X22" s="41"/>
      <c r="Y22" s="41"/>
      <c r="Z22" s="41"/>
      <c r="AA22" s="41"/>
      <c r="AB22" s="41"/>
      <c r="AC22" s="41"/>
      <c r="AD22" s="41"/>
      <c r="AE22" s="67"/>
      <c r="AF22" s="42"/>
      <c r="AG22" s="41"/>
      <c r="AH22" s="41"/>
      <c r="AI22" s="41"/>
      <c r="AJ22" s="4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I22" s="53" t="s">
        <v>83</v>
      </c>
      <c r="CJ22" s="56">
        <f>CJ21/P62*100+P61</f>
        <v>1.4019999999999999</v>
      </c>
      <c r="CK22" s="29" t="s">
        <v>0</v>
      </c>
      <c r="CM22" s="29">
        <v>130</v>
      </c>
      <c r="CN22" s="29">
        <v>0.13</v>
      </c>
      <c r="CO22" s="29">
        <f t="shared" ref="CO22:CO26" si="22">CS22</f>
        <v>1.0700000000000001E-2</v>
      </c>
      <c r="CQ22" s="29">
        <v>1.9372E-2</v>
      </c>
      <c r="CR22" s="50">
        <v>1.7670000000000002E-2</v>
      </c>
      <c r="CS22" s="50">
        <f>(CS14*0.1)-0.0023</f>
        <v>1.0700000000000001E-2</v>
      </c>
      <c r="CT22" s="50">
        <f>(CT14*0.15)-0.002414</f>
        <v>2.4586E-2</v>
      </c>
      <c r="CU22" s="50">
        <f>(CU14*0.2)-0.00275</f>
        <v>4.5249999999999999E-2</v>
      </c>
      <c r="CV22" s="50">
        <f>(CV14*0.43)-0.003</f>
        <v>5.5050000000000002E-2</v>
      </c>
      <c r="CW22" s="50">
        <f>CW14*0.15*0.9</f>
        <v>1.8225000000000002E-2</v>
      </c>
      <c r="CX22" s="50">
        <f>CX14*0.28*0.9</f>
        <v>3.4020000000000009E-2</v>
      </c>
      <c r="DY22" s="50"/>
      <c r="ED22" s="29"/>
      <c r="EE22" s="29" t="e">
        <f>VLOOKUP(Y10,ED6:EE13,2,FALSE)</f>
        <v>#N/A</v>
      </c>
      <c r="EG22" s="29">
        <v>17</v>
      </c>
      <c r="EH22" s="29">
        <v>2</v>
      </c>
      <c r="EI22" s="29">
        <v>58.4</v>
      </c>
      <c r="EJ22" s="29">
        <v>42.1</v>
      </c>
      <c r="EK22" s="29">
        <v>33.6</v>
      </c>
      <c r="EL22" s="29">
        <v>21.8</v>
      </c>
      <c r="EM22" s="29">
        <v>16.600000000000001</v>
      </c>
      <c r="EN22" s="29">
        <v>13.6</v>
      </c>
      <c r="EO22" s="29">
        <v>8.3000000000000007</v>
      </c>
      <c r="EP22" s="29">
        <v>5</v>
      </c>
      <c r="EQ22" s="29">
        <v>3</v>
      </c>
      <c r="EW22" s="29">
        <f t="shared" si="10"/>
        <v>0.22546550582553121</v>
      </c>
      <c r="EX22" s="29">
        <f t="shared" si="11"/>
        <v>2.7119586798757478E-2</v>
      </c>
      <c r="EZ22" s="29">
        <v>255</v>
      </c>
      <c r="FA22" s="50">
        <f t="shared" si="1"/>
        <v>0.15787154339316309</v>
      </c>
      <c r="FB22" s="50">
        <f>(FB$4*SIN(EZ22*PI()/180)+$CJ$11)/2</f>
        <v>9.6770653339046109E-3</v>
      </c>
      <c r="FC22" s="29">
        <v>255</v>
      </c>
      <c r="FD22" s="50">
        <f t="shared" si="2"/>
        <v>0.14033026079392275</v>
      </c>
      <c r="FE22" s="50">
        <f>(FE$4*SIN(FC22*PI()/180)+$CJ$11)/2</f>
        <v>9.6770653339046109E-3</v>
      </c>
      <c r="FF22" s="29">
        <v>18</v>
      </c>
      <c r="FG22" s="29">
        <f t="shared" si="0"/>
        <v>1.1309733552923256</v>
      </c>
      <c r="FH22" s="29">
        <f>($P$20/2000)*SIN(FG22)+($P$20/2000)</f>
        <v>0.47620676311650489</v>
      </c>
      <c r="FI22" s="29">
        <f>($P$20/2000)*COS(FG22)+$P$20/2000</f>
        <v>0.35644482289126816</v>
      </c>
      <c r="FJ22" s="50"/>
      <c r="FL22" s="29">
        <f>IF($P$19="Hexagon",EU22,IF(OR($P$19="Kerbdrain150",$P$19="Kerbdrain280"),FA22,IF(OR($P$19="Channel100",$P$19="Channel150",$P$19="Channel200",$P$19="Channel430"),EW22,IF(AND($P$19="Oval",$CJ$11=0.15),FH22,IF(AND($P$19="Oval",$CJ$11=0.225),FH22,IF(AND($P$19="Oval",$CJ$11=0.35),FH22,IF(AND($P$19="Oval",$CJ$11=0.55),FH22,IF(AND($P$19="Oval",$CJ$11=0.7),FD22,IF(AND($P$19="Oval",$CJ$11=0.9),FD22,"")))))))))</f>
        <v>0</v>
      </c>
      <c r="FM22" s="29">
        <f>IF($P$19="Hexagon",EV22,IF(OR($P$19="Kerbdrain150",$P$19="Kerbdrain280"),FB22,IF(OR($P$19="Channel100",$P$19="Channel150",$P$19="Channel200",$P$19="Channel430"),EX22,IF(AND($P$19="Oval",$CJ$11=0.15),FI22,IF(AND($P$19="Oval",$CJ$11=0.225),FI22,IF(AND($P$19="Oval",$CJ$11=0.35),FI22,IF(AND($P$19="Oval",$CJ$11=0.55),FI22,IF(AND($P$19="Oval",$CJ$11=0.7),FE22,IF(AND($P$19="Oval",$CJ$11=0.9),FE22,"")))))))))</f>
        <v>0</v>
      </c>
      <c r="FP22" s="29">
        <f>IF(MAX(FL$5:FM$104)&lt;0.5,FL22*2,FL22)</f>
        <v>0</v>
      </c>
      <c r="FQ22" s="29">
        <f>IF(MAX(FL$5:FM$104)&lt;0.5,FM22*2,FM22)</f>
        <v>0</v>
      </c>
      <c r="FT22" s="29">
        <f>IF(AND(FP22=0,FQ22=0),FT21,FP22+(0.5*(1-MAX(FP$5:FP$104))))</f>
        <v>0.5</v>
      </c>
      <c r="FU22" s="29">
        <f>IF(AND(FP22=0,FQ22=0),FU21,FQ22+(0.5*(1-MAX(FQ$5:FQ$104))))</f>
        <v>0.21600000000000003</v>
      </c>
      <c r="GB22" s="51">
        <f t="shared" si="16"/>
        <v>0.22546550582553121</v>
      </c>
      <c r="GC22" s="51">
        <f t="shared" si="17"/>
        <v>2.7119586798757478E-2</v>
      </c>
      <c r="GE22" s="51">
        <v>255</v>
      </c>
      <c r="GF22" s="52">
        <f t="shared" si="3"/>
        <v>0.15787154339316309</v>
      </c>
      <c r="GG22" s="52">
        <f>(GG$4*SIN(GE22*PI()/180)+$CL$11)/2</f>
        <v>9.6770653339046109E-3</v>
      </c>
      <c r="GH22" s="51">
        <v>255</v>
      </c>
      <c r="GI22" s="52">
        <f t="shared" si="4"/>
        <v>0.14033026079392275</v>
      </c>
      <c r="GJ22" s="52">
        <f>(GJ$4*SIN(GH22*PI()/180)+$CL$11)/2</f>
        <v>9.6770653339046109E-3</v>
      </c>
      <c r="GK22" s="51">
        <v>18</v>
      </c>
      <c r="GL22" s="51">
        <f t="shared" si="5"/>
        <v>1.1309733552923256</v>
      </c>
      <c r="GM22" s="51">
        <f>($M$66/2000)*SIN(GL22)+($M$66/2000)</f>
        <v>0.47620676311650489</v>
      </c>
      <c r="GN22" s="51">
        <f>($M$66/2000)*COS(GL22)+$M$66/2000</f>
        <v>0.35644482289126816</v>
      </c>
      <c r="GO22" s="52"/>
      <c r="GQ22" s="51">
        <f>IF($M$65="Hexagon",FZ22,IF(OR($M$65="Kerbdrain150",$M$65="Kerbdrain280"),GF22,IF(OR($M$65="Channel100",$M$65="Channel150",$M$65="Channel200",$M$65="Channel430"),GB22,IF(AND($M$65="Oval",$CL$11=0.15),GM22,IF(AND($M$65="Oval",$CL$11=0.225),GM22,IF(AND($M$65="Oval",$CL$11=0.35),GM22,IF(AND($M$65="Oval",$CL$11=0.55),GM22,IF(AND($M$65="Oval",$CL$11=0.7),GI22,IF(AND($M$65="Oval",$CL$11=0.9),GI22,"")))))))))</f>
        <v>0</v>
      </c>
      <c r="GR22" s="51">
        <f>IF($M$65="Hexagon",GA22,IF(OR($M$65="Kerbdrain150",$M$65="Kerbdrain280"),GG22,IF(OR($M$65="Channel100",$M$65="Channel150",$M$65="Channel200",$M$65="Channel430"),GC22,IF(AND($M$65="Oval",$CL$11=0.15),GN22,IF(AND($M$65="Oval",$CL$11=0.225),GN22,IF(AND($M$65="Oval",$CL$11=0.35),GN22,IF(AND($M$65="Oval",$CL$11=0.55),GN22,IF(AND($M$65="Oval",$CL$11=0.7),GJ22,IF(AND($M$65="Oval",$CL$11=0.9),GJ22,"")))))))))</f>
        <v>0</v>
      </c>
      <c r="GU22" s="51">
        <f>IF(MAX(GQ$5:GR$104)&lt;0.5,GQ22*2,GQ22)</f>
        <v>0</v>
      </c>
      <c r="GV22" s="51">
        <f>IF(MAX(GQ$5:GR$104)&lt;0.5,GR22*2,GR22)</f>
        <v>0</v>
      </c>
      <c r="GY22" s="51">
        <f>IF(AND(GU22=0,GV22=0),GY21,GU22+(0.5*(1-MAX(GU$5:GU$104))))</f>
        <v>0.5</v>
      </c>
      <c r="GZ22" s="51">
        <f>IF(AND(GU22=0,GV22=0),GZ21,GV22+(0.5*(1-MAX(GV$5:GV$104))))</f>
        <v>0.21600000000000003</v>
      </c>
    </row>
    <row r="23" spans="2:208">
      <c r="B23" s="9"/>
      <c r="C23" s="10"/>
      <c r="D23" s="10"/>
      <c r="E23" s="10"/>
      <c r="F23" s="11"/>
      <c r="G23" s="70"/>
      <c r="H23" s="37"/>
      <c r="I23" s="37"/>
      <c r="J23" s="37"/>
      <c r="K23" s="37"/>
      <c r="L23" s="37"/>
      <c r="M23" s="37"/>
      <c r="N23" s="37"/>
      <c r="O23" s="37"/>
      <c r="P23" s="37"/>
      <c r="Q23" s="37"/>
      <c r="R23" s="37"/>
      <c r="S23" s="37"/>
      <c r="T23" s="37"/>
      <c r="U23" s="41"/>
      <c r="V23" s="41"/>
      <c r="W23" s="41"/>
      <c r="X23" s="41"/>
      <c r="Y23" s="41"/>
      <c r="Z23" s="41"/>
      <c r="AA23" s="41"/>
      <c r="AB23" s="41"/>
      <c r="AC23" s="41"/>
      <c r="AD23" s="41"/>
      <c r="AE23" s="67"/>
      <c r="AF23" s="42"/>
      <c r="AG23" s="41"/>
      <c r="AH23" s="41"/>
      <c r="AI23" s="41"/>
      <c r="AJ23" s="4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29" t="s">
        <v>67</v>
      </c>
      <c r="CI23" s="53" t="s">
        <v>84</v>
      </c>
      <c r="CJ23" s="56">
        <f>IF(CJ22&lt;=0.5,0.132*(CJ22/100)-0.00022,0.00044)</f>
        <v>4.4000000000000002E-4</v>
      </c>
      <c r="CM23" s="29">
        <v>180</v>
      </c>
      <c r="CN23" s="29">
        <v>0.18</v>
      </c>
      <c r="CO23" s="29">
        <f t="shared" si="22"/>
        <v>1.5699999999999999E-2</v>
      </c>
      <c r="CQ23" s="29">
        <v>4.3763000000000003E-2</v>
      </c>
      <c r="CR23" s="50">
        <v>3.9800000000000002E-2</v>
      </c>
      <c r="CS23" s="50">
        <f t="shared" ref="CS23:CS26" si="23">(CS15*0.1)-0.0023</f>
        <v>1.5699999999999999E-2</v>
      </c>
      <c r="CT23" s="50">
        <f>(CT15*0.15)-0.002414</f>
        <v>3.2086000000000003E-2</v>
      </c>
      <c r="CU23" s="50">
        <f t="shared" ref="CU23:CU25" si="24">(CU15*0.2)-0.00275</f>
        <v>5.0250000000000003E-2</v>
      </c>
      <c r="CV23" s="50">
        <f t="shared" ref="CV23:CV25" si="25">(CV15*0.43)-0.003</f>
        <v>8.514999999999999E-2</v>
      </c>
      <c r="CW23" s="50">
        <f t="shared" ref="CW23:CW25" si="26">CW15*0.15*0.9</f>
        <v>2.4975000000000001E-2</v>
      </c>
      <c r="CX23" s="50">
        <f t="shared" ref="CX23:CX25" si="27">CX15*0.28*0.9</f>
        <v>5.1659999999999998E-2</v>
      </c>
      <c r="DY23" s="50"/>
      <c r="EG23" s="29" t="s">
        <v>39</v>
      </c>
      <c r="EH23" s="29">
        <v>5</v>
      </c>
      <c r="EI23" s="29">
        <v>77.2</v>
      </c>
      <c r="EJ23" s="29">
        <v>55.2</v>
      </c>
      <c r="EK23" s="29">
        <v>43.8</v>
      </c>
      <c r="EL23" s="29">
        <v>28.2</v>
      </c>
      <c r="EM23" s="29">
        <v>21.3</v>
      </c>
      <c r="EN23" s="29">
        <v>17.399999999999999</v>
      </c>
      <c r="EO23" s="29">
        <v>10.5</v>
      </c>
      <c r="EP23" s="29">
        <v>6.3</v>
      </c>
      <c r="EQ23" s="29">
        <v>4</v>
      </c>
      <c r="EW23" s="29">
        <f t="shared" si="10"/>
        <v>0.21808740488701761</v>
      </c>
      <c r="EX23" s="29">
        <f t="shared" si="11"/>
        <v>2.210543457871389E-2</v>
      </c>
      <c r="EZ23" s="29">
        <v>270</v>
      </c>
      <c r="FA23" s="50">
        <f t="shared" si="1"/>
        <v>0.21299999999999994</v>
      </c>
      <c r="FB23" s="50">
        <f>(FB$4*SIN(EZ23*PI()/180)+$CJ$11)/2</f>
        <v>0</v>
      </c>
      <c r="FC23" s="29">
        <v>270</v>
      </c>
      <c r="FD23" s="50">
        <f t="shared" si="2"/>
        <v>0.1893333333333333</v>
      </c>
      <c r="FE23" s="50">
        <f>(FE$4*SIN(FC23*PI()/180)+$CJ$11)/2</f>
        <v>0</v>
      </c>
      <c r="FF23" s="29">
        <v>19</v>
      </c>
      <c r="FG23" s="29">
        <f t="shared" si="0"/>
        <v>1.1938052083641213</v>
      </c>
      <c r="FH23" s="29">
        <f>($P$20/2000)*SIN(FG23)+($P$20/2000)</f>
        <v>0.48244412147206284</v>
      </c>
      <c r="FI23" s="29">
        <f>($P$20/2000)*COS(FG23)+$P$20/2000</f>
        <v>0.34203113817116954</v>
      </c>
      <c r="FJ23" s="50"/>
      <c r="FL23" s="29">
        <f>IF($P$19="Hexagon",EU23,IF(OR($P$19="Kerbdrain150",$P$19="Kerbdrain280"),FA23,IF(OR($P$19="Channel100",$P$19="Channel150",$P$19="Channel200",$P$19="Channel430"),EW23,IF(AND($P$19="Oval",$CJ$11=0.15),FH23,IF(AND($P$19="Oval",$CJ$11=0.225),FH23,IF(AND($P$19="Oval",$CJ$11=0.35),FH23,IF(AND($P$19="Oval",$CJ$11=0.55),FH23,IF(AND($P$19="Oval",$CJ$11=0.7),FD23,IF(AND($P$19="Oval",$CJ$11=0.9),FD23,"")))))))))</f>
        <v>0</v>
      </c>
      <c r="FM23" s="29">
        <f>IF($P$19="Hexagon",EV23,IF(OR($P$19="Kerbdrain150",$P$19="Kerbdrain280"),FB23,IF(OR($P$19="Channel100",$P$19="Channel150",$P$19="Channel200",$P$19="Channel430"),EX23,IF(AND($P$19="Oval",$CJ$11=0.15),FI23,IF(AND($P$19="Oval",$CJ$11=0.225),FI23,IF(AND($P$19="Oval",$CJ$11=0.35),FI23,IF(AND($P$19="Oval",$CJ$11=0.55),FI23,IF(AND($P$19="Oval",$CJ$11=0.7),FE23,IF(AND($P$19="Oval",$CJ$11=0.9),FE23,"")))))))))</f>
        <v>0</v>
      </c>
      <c r="FP23" s="29">
        <f>IF(MAX(FL$5:FM$104)&lt;0.5,FL23*2,FL23)</f>
        <v>0</v>
      </c>
      <c r="FQ23" s="29">
        <f>IF(MAX(FL$5:FM$104)&lt;0.5,FM23*2,FM23)</f>
        <v>0</v>
      </c>
      <c r="FT23" s="29">
        <f>IF(AND(FP23=0,FQ23=0),FT22,FP23+(0.5*(1-MAX(FP$5:FP$104))))</f>
        <v>0.5</v>
      </c>
      <c r="FU23" s="29">
        <f>IF(AND(FP23=0,FQ23=0),FU22,FQ23+(0.5*(1-MAX(FQ$5:FQ$104))))</f>
        <v>0.21600000000000003</v>
      </c>
      <c r="GB23" s="51">
        <f t="shared" si="16"/>
        <v>0.21808740488701761</v>
      </c>
      <c r="GC23" s="51">
        <f t="shared" si="17"/>
        <v>2.210543457871389E-2</v>
      </c>
      <c r="GE23" s="51">
        <v>270</v>
      </c>
      <c r="GF23" s="52">
        <f t="shared" si="3"/>
        <v>0.21299999999999994</v>
      </c>
      <c r="GG23" s="52">
        <f>(GG$4*SIN(GE23*PI()/180)+$CL$11)/2</f>
        <v>0</v>
      </c>
      <c r="GH23" s="51">
        <v>270</v>
      </c>
      <c r="GI23" s="52">
        <f t="shared" si="4"/>
        <v>0.1893333333333333</v>
      </c>
      <c r="GJ23" s="52">
        <f>(GJ$4*SIN(GH23*PI()/180)+$CL$11)/2</f>
        <v>0</v>
      </c>
      <c r="GK23" s="51">
        <v>19</v>
      </c>
      <c r="GL23" s="51">
        <f t="shared" si="5"/>
        <v>1.1938052083641213</v>
      </c>
      <c r="GM23" s="51">
        <f>($M$66/2000)*SIN(GL23)+($M$66/2000)</f>
        <v>0.48244412147206284</v>
      </c>
      <c r="GN23" s="51">
        <f>($M$66/2000)*COS(GL23)+$M$66/2000</f>
        <v>0.34203113817116954</v>
      </c>
      <c r="GO23" s="52"/>
      <c r="GQ23" s="51">
        <f>IF($M$65="Hexagon",FZ23,IF(OR($M$65="Kerbdrain150",$M$65="Kerbdrain280"),GF23,IF(OR($M$65="Channel100",$M$65="Channel150",$M$65="Channel200",$M$65="Channel430"),GB23,IF(AND($M$65="Oval",$CL$11=0.15),GM23,IF(AND($M$65="Oval",$CL$11=0.225),GM23,IF(AND($M$65="Oval",$CL$11=0.35),GM23,IF(AND($M$65="Oval",$CL$11=0.55),GM23,IF(AND($M$65="Oval",$CL$11=0.7),GI23,IF(AND($M$65="Oval",$CL$11=0.9),GI23,"")))))))))</f>
        <v>0</v>
      </c>
      <c r="GR23" s="51">
        <f>IF($M$65="Hexagon",GA23,IF(OR($M$65="Kerbdrain150",$M$65="Kerbdrain280"),GG23,IF(OR($M$65="Channel100",$M$65="Channel150",$M$65="Channel200",$M$65="Channel430"),GC23,IF(AND($M$65="Oval",$CL$11=0.15),GN23,IF(AND($M$65="Oval",$CL$11=0.225),GN23,IF(AND($M$65="Oval",$CL$11=0.35),GN23,IF(AND($M$65="Oval",$CL$11=0.55),GN23,IF(AND($M$65="Oval",$CL$11=0.7),GJ23,IF(AND($M$65="Oval",$CL$11=0.9),GJ23,"")))))))))</f>
        <v>0</v>
      </c>
      <c r="GU23" s="51">
        <f>IF(MAX(GQ$5:GR$104)&lt;0.5,GQ23*2,GQ23)</f>
        <v>0</v>
      </c>
      <c r="GV23" s="51">
        <f>IF(MAX(GQ$5:GR$104)&lt;0.5,GR23*2,GR23)</f>
        <v>0</v>
      </c>
      <c r="GY23" s="51">
        <f>IF(AND(GU23=0,GV23=0),GY22,GU23+(0.5*(1-MAX(GU$5:GU$104))))</f>
        <v>0.5</v>
      </c>
      <c r="GZ23" s="51">
        <f>IF(AND(GU23=0,GV23=0),GZ22,GV23+(0.5*(1-MAX(GV$5:GV$104))))</f>
        <v>0.21600000000000003</v>
      </c>
    </row>
    <row r="24" spans="2:208">
      <c r="B24" s="9"/>
      <c r="C24" s="10"/>
      <c r="D24" s="10"/>
      <c r="E24" s="10"/>
      <c r="F24" s="11"/>
      <c r="G24" s="70"/>
      <c r="H24" s="37"/>
      <c r="I24" s="37"/>
      <c r="J24" s="37"/>
      <c r="K24" s="37"/>
      <c r="L24" s="37"/>
      <c r="M24" s="37"/>
      <c r="N24" s="37"/>
      <c r="O24" s="37"/>
      <c r="P24" s="37"/>
      <c r="Q24" s="37"/>
      <c r="R24" s="37"/>
      <c r="S24" s="37"/>
      <c r="T24" s="37"/>
      <c r="U24" s="41"/>
      <c r="V24" s="41"/>
      <c r="W24" s="41"/>
      <c r="X24" s="41"/>
      <c r="Y24" s="41"/>
      <c r="Z24" s="41"/>
      <c r="AA24" s="41"/>
      <c r="AB24" s="41"/>
      <c r="AC24" s="41"/>
      <c r="AD24" s="41"/>
      <c r="AE24" s="67"/>
      <c r="AF24" s="42"/>
      <c r="AG24" s="41"/>
      <c r="AH24" s="41"/>
      <c r="AI24" s="41"/>
      <c r="AJ24" s="4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I24" s="53" t="s">
        <v>85</v>
      </c>
      <c r="CJ24" s="29">
        <f>(2.66*CJ$12^1.25)*((6.74*(CJ$22/100)^0.7)+0.4+(CJ$6/CJ$11)*CJ$23)*1000</f>
        <v>321.08190732161933</v>
      </c>
      <c r="CK24" s="29" t="s">
        <v>2</v>
      </c>
      <c r="CM24" s="29">
        <v>230</v>
      </c>
      <c r="CN24" s="29">
        <v>0.23</v>
      </c>
      <c r="CO24" s="29">
        <f t="shared" si="22"/>
        <v>2.0700000000000003E-2</v>
      </c>
      <c r="CQ24" s="29">
        <v>7.7676999999999996E-2</v>
      </c>
      <c r="CR24" s="50">
        <v>9.6210000000000004E-2</v>
      </c>
      <c r="CS24" s="50">
        <f t="shared" si="23"/>
        <v>2.0700000000000003E-2</v>
      </c>
      <c r="CT24" s="50">
        <f t="shared" ref="CT24:CT26" si="28">(CT16*0.15)-0.002414</f>
        <v>3.9586000000000003E-2</v>
      </c>
      <c r="CU24" s="50">
        <f t="shared" si="24"/>
        <v>5.5249999999999994E-2</v>
      </c>
      <c r="CV24" s="50">
        <f t="shared" si="25"/>
        <v>0.11525000000000001</v>
      </c>
      <c r="CW24" s="50">
        <f t="shared" si="26"/>
        <v>3.1724999999999996E-2</v>
      </c>
      <c r="CX24" s="50">
        <f t="shared" si="27"/>
        <v>6.9300000000000014E-2</v>
      </c>
      <c r="DY24" s="50"/>
      <c r="EG24" s="29">
        <v>0.4</v>
      </c>
      <c r="EH24" s="29">
        <v>10</v>
      </c>
      <c r="EI24" s="29">
        <v>88.2</v>
      </c>
      <c r="EJ24" s="29">
        <v>63.6</v>
      </c>
      <c r="EK24" s="29">
        <v>50.7</v>
      </c>
      <c r="EL24" s="29">
        <v>32.799999999999997</v>
      </c>
      <c r="EM24" s="29">
        <v>24.9</v>
      </c>
      <c r="EN24" s="29">
        <v>20.399999999999999</v>
      </c>
      <c r="EO24" s="29">
        <v>12.3</v>
      </c>
      <c r="EP24" s="29">
        <v>7.4</v>
      </c>
      <c r="EQ24" s="29">
        <v>4</v>
      </c>
      <c r="EW24" s="29">
        <f t="shared" si="10"/>
        <v>0.21040902172244363</v>
      </c>
      <c r="EX24" s="29">
        <f t="shared" si="11"/>
        <v>1.7564451433771402E-2</v>
      </c>
      <c r="EZ24" s="29">
        <v>285</v>
      </c>
      <c r="FA24" s="50">
        <f t="shared" si="1"/>
        <v>0.26812845660683693</v>
      </c>
      <c r="FB24" s="50">
        <f>(FB$4*SIN(EZ24*PI()/180)+$CJ$11)/2</f>
        <v>9.6770653339046109E-3</v>
      </c>
      <c r="FC24" s="29">
        <v>285</v>
      </c>
      <c r="FD24" s="50">
        <f t="shared" si="2"/>
        <v>0.23833640587274399</v>
      </c>
      <c r="FE24" s="50">
        <f>(FE$4*SIN(FC24*PI()/180)+$CJ$11)/2</f>
        <v>9.6770653339046109E-3</v>
      </c>
      <c r="FF24" s="29">
        <v>20</v>
      </c>
      <c r="FG24" s="29">
        <f t="shared" si="0"/>
        <v>1.2566370614359172</v>
      </c>
      <c r="FH24" s="29">
        <f>($P$20/2000)*SIN(FG24)+($P$20/2000)</f>
        <v>0.48776412907378841</v>
      </c>
      <c r="FI24" s="29">
        <f>($P$20/2000)*COS(FG24)+$P$20/2000</f>
        <v>0.32725424859373686</v>
      </c>
      <c r="FJ24" s="50"/>
      <c r="FL24" s="29">
        <f>IF($P$19="Hexagon",EU24,IF(OR($P$19="Kerbdrain150",$P$19="Kerbdrain280"),FA24,IF(OR($P$19="Channel100",$P$19="Channel150",$P$19="Channel200",$P$19="Channel430"),EW24,IF(AND($P$19="Oval",$CJ$11=0.15),FH24,IF(AND($P$19="Oval",$CJ$11=0.225),FH24,IF(AND($P$19="Oval",$CJ$11=0.35),FH24,IF(AND($P$19="Oval",$CJ$11=0.55),FH24,IF(AND($P$19="Oval",$CJ$11=0.7),FD24,IF(AND($P$19="Oval",$CJ$11=0.9),FD24,"")))))))))</f>
        <v>0</v>
      </c>
      <c r="FM24" s="29">
        <f>IF($P$19="Hexagon",EV24,IF(OR($P$19="Kerbdrain150",$P$19="Kerbdrain280"),FB24,IF(OR($P$19="Channel100",$P$19="Channel150",$P$19="Channel200",$P$19="Channel430"),EX24,IF(AND($P$19="Oval",$CJ$11=0.15),FI24,IF(AND($P$19="Oval",$CJ$11=0.225),FI24,IF(AND($P$19="Oval",$CJ$11=0.35),FI24,IF(AND($P$19="Oval",$CJ$11=0.55),FI24,IF(AND($P$19="Oval",$CJ$11=0.7),FE24,IF(AND($P$19="Oval",$CJ$11=0.9),FE24,"")))))))))</f>
        <v>0</v>
      </c>
      <c r="FP24" s="29">
        <f>IF(MAX(FL$5:FM$104)&lt;0.5,FL24*2,FL24)</f>
        <v>0</v>
      </c>
      <c r="FQ24" s="29">
        <f>IF(MAX(FL$5:FM$104)&lt;0.5,FM24*2,FM24)</f>
        <v>0</v>
      </c>
      <c r="FT24" s="29">
        <f>IF(AND(FP24=0,FQ24=0),FT23,FP24+(0.5*(1-MAX(FP$5:FP$104))))</f>
        <v>0.5</v>
      </c>
      <c r="FU24" s="29">
        <f>IF(AND(FP24=0,FQ24=0),FU23,FQ24+(0.5*(1-MAX(FQ$5:FQ$104))))</f>
        <v>0.21600000000000003</v>
      </c>
      <c r="GB24" s="51">
        <f t="shared" si="16"/>
        <v>0.21040902172244363</v>
      </c>
      <c r="GC24" s="51">
        <f t="shared" si="17"/>
        <v>1.7564451433771402E-2</v>
      </c>
      <c r="GE24" s="51">
        <v>285</v>
      </c>
      <c r="GF24" s="52">
        <f t="shared" si="3"/>
        <v>0.26812845660683693</v>
      </c>
      <c r="GG24" s="52">
        <f>(GG$4*SIN(GE24*PI()/180)+$CL$11)/2</f>
        <v>9.6770653339046109E-3</v>
      </c>
      <c r="GH24" s="51">
        <v>285</v>
      </c>
      <c r="GI24" s="52">
        <f t="shared" si="4"/>
        <v>0.23833640587274399</v>
      </c>
      <c r="GJ24" s="52">
        <f>(GJ$4*SIN(GH24*PI()/180)+$CL$11)/2</f>
        <v>9.6770653339046109E-3</v>
      </c>
      <c r="GK24" s="51">
        <v>20</v>
      </c>
      <c r="GL24" s="51">
        <f t="shared" si="5"/>
        <v>1.2566370614359172</v>
      </c>
      <c r="GM24" s="51">
        <f>($M$66/2000)*SIN(GL24)+($M$66/2000)</f>
        <v>0.48776412907378841</v>
      </c>
      <c r="GN24" s="51">
        <f>($M$66/2000)*COS(GL24)+$M$66/2000</f>
        <v>0.32725424859373686</v>
      </c>
      <c r="GO24" s="52"/>
      <c r="GQ24" s="51">
        <f>IF($M$65="Hexagon",FZ24,IF(OR($M$65="Kerbdrain150",$M$65="Kerbdrain280"),GF24,IF(OR($M$65="Channel100",$M$65="Channel150",$M$65="Channel200",$M$65="Channel430"),GB24,IF(AND($M$65="Oval",$CL$11=0.15),GM24,IF(AND($M$65="Oval",$CL$11=0.225),GM24,IF(AND($M$65="Oval",$CL$11=0.35),GM24,IF(AND($M$65="Oval",$CL$11=0.55),GM24,IF(AND($M$65="Oval",$CL$11=0.7),GI24,IF(AND($M$65="Oval",$CL$11=0.9),GI24,"")))))))))</f>
        <v>0</v>
      </c>
      <c r="GR24" s="51">
        <f>IF($M$65="Hexagon",GA24,IF(OR($M$65="Kerbdrain150",$M$65="Kerbdrain280"),GG24,IF(OR($M$65="Channel100",$M$65="Channel150",$M$65="Channel200",$M$65="Channel430"),GC24,IF(AND($M$65="Oval",$CL$11=0.15),GN24,IF(AND($M$65="Oval",$CL$11=0.225),GN24,IF(AND($M$65="Oval",$CL$11=0.35),GN24,IF(AND($M$65="Oval",$CL$11=0.55),GN24,IF(AND($M$65="Oval",$CL$11=0.7),GJ24,IF(AND($M$65="Oval",$CL$11=0.9),GJ24,"")))))))))</f>
        <v>0</v>
      </c>
      <c r="GU24" s="51">
        <f>IF(MAX(GQ$5:GR$104)&lt;0.5,GQ24*2,GQ24)</f>
        <v>0</v>
      </c>
      <c r="GV24" s="51">
        <f>IF(MAX(GQ$5:GR$104)&lt;0.5,GR24*2,GR24)</f>
        <v>0</v>
      </c>
      <c r="GY24" s="51">
        <f>IF(AND(GU24=0,GV24=0),GY23,GU24+(0.5*(1-MAX(GU$5:GU$104))))</f>
        <v>0.5</v>
      </c>
      <c r="GZ24" s="51">
        <f>IF(AND(GU24=0,GV24=0),GZ23,GV24+(0.5*(1-MAX(GV$5:GV$104))))</f>
        <v>0.21600000000000003</v>
      </c>
    </row>
    <row r="25" spans="2:208">
      <c r="B25" s="9"/>
      <c r="C25" s="10"/>
      <c r="D25" s="10"/>
      <c r="E25" s="10"/>
      <c r="F25" s="11"/>
      <c r="G25" s="70"/>
      <c r="H25" s="37"/>
      <c r="I25" s="37"/>
      <c r="J25" s="37"/>
      <c r="K25" s="37"/>
      <c r="L25" s="37"/>
      <c r="M25" s="37"/>
      <c r="N25" s="37"/>
      <c r="O25" s="37"/>
      <c r="P25" s="37"/>
      <c r="Q25" s="37"/>
      <c r="R25" s="37"/>
      <c r="S25" s="37"/>
      <c r="T25" s="37"/>
      <c r="U25" s="41"/>
      <c r="V25" s="41"/>
      <c r="W25" s="41"/>
      <c r="X25" s="41"/>
      <c r="Y25" s="41"/>
      <c r="Z25" s="41"/>
      <c r="AA25" s="41"/>
      <c r="AB25" s="41"/>
      <c r="AC25" s="41"/>
      <c r="AD25" s="41"/>
      <c r="AE25" s="67"/>
      <c r="AF25" s="42"/>
      <c r="AG25" s="41"/>
      <c r="AH25" s="41"/>
      <c r="AI25" s="41"/>
      <c r="AJ25" s="4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I25" s="53" t="str">
        <f>IF(CJ24&gt;CJ14,"Channel Capacity OK","Channel Inadequate, Choose a Larger Channel or Reduce Area")</f>
        <v>Channel Capacity OK</v>
      </c>
      <c r="CM25" s="29">
        <v>280</v>
      </c>
      <c r="CN25" s="29">
        <v>0.28000000000000003</v>
      </c>
      <c r="CO25" s="29">
        <f t="shared" si="22"/>
        <v>2.5700000000000004E-2</v>
      </c>
      <c r="CQ25" s="29">
        <v>0.138296</v>
      </c>
      <c r="CR25" s="50">
        <v>0.2001</v>
      </c>
      <c r="CS25" s="50">
        <f t="shared" si="23"/>
        <v>2.5700000000000004E-2</v>
      </c>
      <c r="CT25" s="50">
        <f t="shared" si="28"/>
        <v>4.7086000000000003E-2</v>
      </c>
      <c r="CU25" s="50">
        <f t="shared" si="24"/>
        <v>6.0249999999999998E-2</v>
      </c>
      <c r="CV25" s="50">
        <f t="shared" si="25"/>
        <v>0.23565000000000003</v>
      </c>
      <c r="CW25" s="50">
        <f t="shared" si="26"/>
        <v>3.8474999999999995E-2</v>
      </c>
      <c r="CX25" s="50">
        <f t="shared" si="27"/>
        <v>0.13986000000000004</v>
      </c>
      <c r="DY25" s="50"/>
      <c r="EG25" s="29"/>
      <c r="EH25" s="29">
        <v>15</v>
      </c>
      <c r="EI25" s="29">
        <v>95.3</v>
      </c>
      <c r="EJ25" s="29">
        <v>69.099999999999994</v>
      </c>
      <c r="EK25" s="29">
        <v>55.3</v>
      </c>
      <c r="EL25" s="29">
        <v>35.799999999999997</v>
      </c>
      <c r="EM25" s="29">
        <v>27.3</v>
      </c>
      <c r="EN25" s="29">
        <v>22.3</v>
      </c>
      <c r="EO25" s="29">
        <v>13.5</v>
      </c>
      <c r="EP25" s="29">
        <v>8.1</v>
      </c>
      <c r="EQ25" s="29">
        <v>5</v>
      </c>
      <c r="EW25" s="29">
        <f t="shared" si="10"/>
        <v>0.20246065940224037</v>
      </c>
      <c r="EX25" s="29">
        <f t="shared" si="11"/>
        <v>1.3514558549825251E-2</v>
      </c>
      <c r="EZ25" s="29">
        <v>300</v>
      </c>
      <c r="FA25" s="50">
        <f t="shared" si="1"/>
        <v>0.31950000000000001</v>
      </c>
      <c r="FB25" s="50">
        <f>(FB$4*SIN(EZ25*PI()/180)+$CJ$11)/2</f>
        <v>3.8048785325219436E-2</v>
      </c>
      <c r="FC25" s="29">
        <v>300</v>
      </c>
      <c r="FD25" s="50">
        <f t="shared" si="2"/>
        <v>0.28400000000000003</v>
      </c>
      <c r="FE25" s="50">
        <f>(FE$4*SIN(FC25*PI()/180)+$CJ$11)/2</f>
        <v>3.8048785325219436E-2</v>
      </c>
      <c r="FF25" s="29">
        <v>21</v>
      </c>
      <c r="FG25" s="29">
        <f t="shared" si="0"/>
        <v>1.319468914507713</v>
      </c>
      <c r="FH25" s="29">
        <f>($P$20/2000)*SIN(FG25)+($P$20/2000)</f>
        <v>0.49214579028215777</v>
      </c>
      <c r="FI25" s="29">
        <f>($P$20/2000)*COS(FG25)+$P$20/2000</f>
        <v>0.31217247179121377</v>
      </c>
      <c r="FJ25" s="50"/>
      <c r="FL25" s="29">
        <f>IF($P$19="Hexagon",EU25,IF(OR($P$19="Kerbdrain150",$P$19="Kerbdrain280"),FA25,IF(OR($P$19="Channel100",$P$19="Channel150",$P$19="Channel200",$P$19="Channel430"),EW25,IF(AND($P$19="Oval",$CJ$11=0.15),FH25,IF(AND($P$19="Oval",$CJ$11=0.225),FH25,IF(AND($P$19="Oval",$CJ$11=0.35),FH25,IF(AND($P$19="Oval",$CJ$11=0.55),FH25,IF(AND($P$19="Oval",$CJ$11=0.7),FD25,IF(AND($P$19="Oval",$CJ$11=0.9),FD25,"")))))))))</f>
        <v>0</v>
      </c>
      <c r="FM25" s="29">
        <f>IF($P$19="Hexagon",EV25,IF(OR($P$19="Kerbdrain150",$P$19="Kerbdrain280"),FB25,IF(OR($P$19="Channel100",$P$19="Channel150",$P$19="Channel200",$P$19="Channel430"),EX25,IF(AND($P$19="Oval",$CJ$11=0.15),FI25,IF(AND($P$19="Oval",$CJ$11=0.225),FI25,IF(AND($P$19="Oval",$CJ$11=0.35),FI25,IF(AND($P$19="Oval",$CJ$11=0.55),FI25,IF(AND($P$19="Oval",$CJ$11=0.7),FE25,IF(AND($P$19="Oval",$CJ$11=0.9),FE25,"")))))))))</f>
        <v>0</v>
      </c>
      <c r="FP25" s="29">
        <f>IF(MAX(FL$5:FM$104)&lt;0.5,FL25*2,FL25)</f>
        <v>0</v>
      </c>
      <c r="FQ25" s="29">
        <f>IF(MAX(FL$5:FM$104)&lt;0.5,FM25*2,FM25)</f>
        <v>0</v>
      </c>
      <c r="FT25" s="29">
        <f>IF(AND(FP25=0,FQ25=0),FT24,FP25+(0.5*(1-MAX(FP$5:FP$104))))</f>
        <v>0.5</v>
      </c>
      <c r="FU25" s="29">
        <f>IF(AND(FP25=0,FQ25=0),FU24,FQ25+(0.5*(1-MAX(FQ$5:FQ$104))))</f>
        <v>0.21600000000000003</v>
      </c>
      <c r="GB25" s="51">
        <f t="shared" si="16"/>
        <v>0.20246065940224037</v>
      </c>
      <c r="GC25" s="51">
        <f t="shared" si="17"/>
        <v>1.3514558549825251E-2</v>
      </c>
      <c r="GE25" s="51">
        <v>300</v>
      </c>
      <c r="GF25" s="52">
        <f t="shared" si="3"/>
        <v>0.31950000000000001</v>
      </c>
      <c r="GG25" s="52">
        <f>(GG$4*SIN(GE25*PI()/180)+$CL$11)/2</f>
        <v>3.8048785325219436E-2</v>
      </c>
      <c r="GH25" s="51">
        <v>300</v>
      </c>
      <c r="GI25" s="52">
        <f t="shared" si="4"/>
        <v>0.28400000000000003</v>
      </c>
      <c r="GJ25" s="52">
        <f>(GJ$4*SIN(GH25*PI()/180)+$CL$11)/2</f>
        <v>3.8048785325219436E-2</v>
      </c>
      <c r="GK25" s="51">
        <v>21</v>
      </c>
      <c r="GL25" s="51">
        <f t="shared" si="5"/>
        <v>1.319468914507713</v>
      </c>
      <c r="GM25" s="51">
        <f>($M$66/2000)*SIN(GL25)+($M$66/2000)</f>
        <v>0.49214579028215777</v>
      </c>
      <c r="GN25" s="51">
        <f>($M$66/2000)*COS(GL25)+$M$66/2000</f>
        <v>0.31217247179121377</v>
      </c>
      <c r="GO25" s="52"/>
      <c r="GQ25" s="51">
        <f>IF($M$65="Hexagon",FZ25,IF(OR($M$65="Kerbdrain150",$M$65="Kerbdrain280"),GF25,IF(OR($M$65="Channel100",$M$65="Channel150",$M$65="Channel200",$M$65="Channel430"),GB25,IF(AND($M$65="Oval",$CL$11=0.15),GM25,IF(AND($M$65="Oval",$CL$11=0.225),GM25,IF(AND($M$65="Oval",$CL$11=0.35),GM25,IF(AND($M$65="Oval",$CL$11=0.55),GM25,IF(AND($M$65="Oval",$CL$11=0.7),GI25,IF(AND($M$65="Oval",$CL$11=0.9),GI25,"")))))))))</f>
        <v>0</v>
      </c>
      <c r="GR25" s="51">
        <f>IF($M$65="Hexagon",GA25,IF(OR($M$65="Kerbdrain150",$M$65="Kerbdrain280"),GG25,IF(OR($M$65="Channel100",$M$65="Channel150",$M$65="Channel200",$M$65="Channel430"),GC25,IF(AND($M$65="Oval",$CL$11=0.15),GN25,IF(AND($M$65="Oval",$CL$11=0.225),GN25,IF(AND($M$65="Oval",$CL$11=0.35),GN25,IF(AND($M$65="Oval",$CL$11=0.55),GN25,IF(AND($M$65="Oval",$CL$11=0.7),GJ25,IF(AND($M$65="Oval",$CL$11=0.9),GJ25,"")))))))))</f>
        <v>0</v>
      </c>
      <c r="GU25" s="51">
        <f>IF(MAX(GQ$5:GR$104)&lt;0.5,GQ25*2,GQ25)</f>
        <v>0</v>
      </c>
      <c r="GV25" s="51">
        <f>IF(MAX(GQ$5:GR$104)&lt;0.5,GR25*2,GR25)</f>
        <v>0</v>
      </c>
      <c r="GY25" s="51">
        <f>IF(AND(GU25=0,GV25=0),GY24,GU25+(0.5*(1-MAX(GU$5:GU$104))))</f>
        <v>0.5</v>
      </c>
      <c r="GZ25" s="51">
        <f>IF(AND(GU25=0,GV25=0),GZ24,GV25+(0.5*(1-MAX(GV$5:GV$104))))</f>
        <v>0.21600000000000003</v>
      </c>
    </row>
    <row r="26" spans="2:208">
      <c r="B26" s="9"/>
      <c r="C26" s="10"/>
      <c r="D26" s="10"/>
      <c r="E26" s="10"/>
      <c r="F26" s="11"/>
      <c r="G26" s="70"/>
      <c r="H26" s="37"/>
      <c r="I26" s="37"/>
      <c r="J26" s="37"/>
      <c r="K26" s="37"/>
      <c r="L26" s="37"/>
      <c r="M26" s="37"/>
      <c r="N26" s="37"/>
      <c r="O26" s="37"/>
      <c r="P26" s="37"/>
      <c r="Q26" s="37"/>
      <c r="R26" s="37"/>
      <c r="S26" s="37"/>
      <c r="T26" s="37"/>
      <c r="U26" s="41"/>
      <c r="V26" s="41"/>
      <c r="W26" s="41"/>
      <c r="X26" s="41"/>
      <c r="Y26" s="41"/>
      <c r="Z26" s="41"/>
      <c r="AA26" s="41"/>
      <c r="AB26" s="41"/>
      <c r="AC26" s="41"/>
      <c r="AD26" s="41"/>
      <c r="AE26" s="67"/>
      <c r="AF26" s="42"/>
      <c r="AG26" s="41"/>
      <c r="AH26" s="41"/>
      <c r="AI26" s="41"/>
      <c r="AJ26" s="4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M26" s="29">
        <v>330</v>
      </c>
      <c r="CN26" s="29">
        <v>0.33</v>
      </c>
      <c r="CO26" s="29">
        <f t="shared" si="22"/>
        <v>3.0700000000000002E-2</v>
      </c>
      <c r="CQ26" s="29">
        <v>0.21649299999999999</v>
      </c>
      <c r="CR26" s="50">
        <v>0.32550000000000001</v>
      </c>
      <c r="CS26" s="50">
        <f t="shared" si="23"/>
        <v>3.0700000000000002E-2</v>
      </c>
      <c r="CT26" s="50">
        <f t="shared" si="28"/>
        <v>5.4585999999999996E-2</v>
      </c>
      <c r="CU26" s="50" t="s">
        <v>72</v>
      </c>
      <c r="CV26" s="50" t="s">
        <v>72</v>
      </c>
      <c r="CW26" s="50" t="s">
        <v>72</v>
      </c>
      <c r="CX26" s="50" t="s">
        <v>72</v>
      </c>
      <c r="DY26" s="50"/>
      <c r="EG26" s="29"/>
      <c r="EH26" s="29">
        <v>20</v>
      </c>
      <c r="EI26" s="29">
        <v>100.8</v>
      </c>
      <c r="EJ26" s="29">
        <v>73.3</v>
      </c>
      <c r="EK26" s="29">
        <v>58.7</v>
      </c>
      <c r="EL26" s="29">
        <v>38.200000000000003</v>
      </c>
      <c r="EM26" s="29">
        <v>29.1</v>
      </c>
      <c r="EN26" s="29">
        <v>23.8</v>
      </c>
      <c r="EO26" s="29">
        <v>14.4</v>
      </c>
      <c r="EP26" s="29">
        <v>8.6</v>
      </c>
      <c r="EQ26" s="29">
        <v>5</v>
      </c>
      <c r="EW26" s="29">
        <f t="shared" si="10"/>
        <v>0.19427368648122431</v>
      </c>
      <c r="EX26" s="29">
        <f t="shared" si="11"/>
        <v>9.9717390038683018E-3</v>
      </c>
      <c r="EZ26" s="29">
        <v>315</v>
      </c>
      <c r="FA26" s="50">
        <f t="shared" si="1"/>
        <v>0.36361374439273453</v>
      </c>
      <c r="FB26" s="50">
        <f>(FB$4*SIN(EZ26*PI()/180)+$CJ$11)/2</f>
        <v>8.318167414302044E-2</v>
      </c>
      <c r="FC26" s="29">
        <v>315</v>
      </c>
      <c r="FD26" s="50">
        <f t="shared" si="2"/>
        <v>0.32321221723798632</v>
      </c>
      <c r="FE26" s="50">
        <f>(FE$4*SIN(FC26*PI()/180)+$CJ$11)/2</f>
        <v>8.318167414302044E-2</v>
      </c>
      <c r="FF26" s="29">
        <v>22</v>
      </c>
      <c r="FG26" s="29">
        <f t="shared" si="0"/>
        <v>1.3823007675795089</v>
      </c>
      <c r="FH26" s="29">
        <f>($P$20/2000)*SIN(FG26)+($P$20/2000)</f>
        <v>0.49557181268217215</v>
      </c>
      <c r="FI26" s="29">
        <f>($P$20/2000)*COS(FG26)+$P$20/2000</f>
        <v>0.29684532864643121</v>
      </c>
      <c r="FJ26" s="50"/>
      <c r="FL26" s="29">
        <f>IF($P$19="Hexagon",EU26,IF(OR($P$19="Kerbdrain150",$P$19="Kerbdrain280"),FA26,IF(OR($P$19="Channel100",$P$19="Channel150",$P$19="Channel200",$P$19="Channel430"),EW26,IF(AND($P$19="Oval",$CJ$11=0.15),FH26,IF(AND($P$19="Oval",$CJ$11=0.225),FH26,IF(AND($P$19="Oval",$CJ$11=0.35),FH26,IF(AND($P$19="Oval",$CJ$11=0.55),FH26,IF(AND($P$19="Oval",$CJ$11=0.7),FD26,IF(AND($P$19="Oval",$CJ$11=0.9),FD26,"")))))))))</f>
        <v>0</v>
      </c>
      <c r="FM26" s="29">
        <f>IF($P$19="Hexagon",EV26,IF(OR($P$19="Kerbdrain150",$P$19="Kerbdrain280"),FB26,IF(OR($P$19="Channel100",$P$19="Channel150",$P$19="Channel200",$P$19="Channel430"),EX26,IF(AND($P$19="Oval",$CJ$11=0.15),FI26,IF(AND($P$19="Oval",$CJ$11=0.225),FI26,IF(AND($P$19="Oval",$CJ$11=0.35),FI26,IF(AND($P$19="Oval",$CJ$11=0.55),FI26,IF(AND($P$19="Oval",$CJ$11=0.7),FE26,IF(AND($P$19="Oval",$CJ$11=0.9),FE26,"")))))))))</f>
        <v>0</v>
      </c>
      <c r="FP26" s="29">
        <f>IF(MAX(FL$5:FM$104)&lt;0.5,FL26*2,FL26)</f>
        <v>0</v>
      </c>
      <c r="FQ26" s="29">
        <f>IF(MAX(FL$5:FM$104)&lt;0.5,FM26*2,FM26)</f>
        <v>0</v>
      </c>
      <c r="FT26" s="29">
        <f>IF(AND(FP26=0,FQ26=0),FT25,FP26+(0.5*(1-MAX(FP$5:FP$104))))</f>
        <v>0.5</v>
      </c>
      <c r="FU26" s="29">
        <f>IF(AND(FP26=0,FQ26=0),FU25,FQ26+(0.5*(1-MAX(FQ$5:FQ$104))))</f>
        <v>0.21600000000000003</v>
      </c>
      <c r="GB26" s="51">
        <f t="shared" si="16"/>
        <v>0.19427368648122431</v>
      </c>
      <c r="GC26" s="51">
        <f t="shared" si="17"/>
        <v>9.9717390038683018E-3</v>
      </c>
      <c r="GE26" s="51">
        <v>315</v>
      </c>
      <c r="GF26" s="52">
        <f t="shared" si="3"/>
        <v>0.36361374439273453</v>
      </c>
      <c r="GG26" s="52">
        <f>(GG$4*SIN(GE26*PI()/180)+$CL$11)/2</f>
        <v>8.318167414302044E-2</v>
      </c>
      <c r="GH26" s="51">
        <v>315</v>
      </c>
      <c r="GI26" s="52">
        <f t="shared" si="4"/>
        <v>0.32321221723798632</v>
      </c>
      <c r="GJ26" s="52">
        <f>(GJ$4*SIN(GH26*PI()/180)+$CL$11)/2</f>
        <v>8.318167414302044E-2</v>
      </c>
      <c r="GK26" s="51">
        <v>22</v>
      </c>
      <c r="GL26" s="51">
        <f t="shared" si="5"/>
        <v>1.3823007675795089</v>
      </c>
      <c r="GM26" s="51">
        <f>($M$66/2000)*SIN(GL26)+($M$66/2000)</f>
        <v>0.49557181268217215</v>
      </c>
      <c r="GN26" s="51">
        <f>($M$66/2000)*COS(GL26)+$M$66/2000</f>
        <v>0.29684532864643121</v>
      </c>
      <c r="GO26" s="52"/>
      <c r="GQ26" s="51">
        <f>IF($M$65="Hexagon",FZ26,IF(OR($M$65="Kerbdrain150",$M$65="Kerbdrain280"),GF26,IF(OR($M$65="Channel100",$M$65="Channel150",$M$65="Channel200",$M$65="Channel430"),GB26,IF(AND($M$65="Oval",$CL$11=0.15),GM26,IF(AND($M$65="Oval",$CL$11=0.225),GM26,IF(AND($M$65="Oval",$CL$11=0.35),GM26,IF(AND($M$65="Oval",$CL$11=0.55),GM26,IF(AND($M$65="Oval",$CL$11=0.7),GI26,IF(AND($M$65="Oval",$CL$11=0.9),GI26,"")))))))))</f>
        <v>0</v>
      </c>
      <c r="GR26" s="51">
        <f>IF($M$65="Hexagon",GA26,IF(OR($M$65="Kerbdrain150",$M$65="Kerbdrain280"),GG26,IF(OR($M$65="Channel100",$M$65="Channel150",$M$65="Channel200",$M$65="Channel430"),GC26,IF(AND($M$65="Oval",$CL$11=0.15),GN26,IF(AND($M$65="Oval",$CL$11=0.225),GN26,IF(AND($M$65="Oval",$CL$11=0.35),GN26,IF(AND($M$65="Oval",$CL$11=0.55),GN26,IF(AND($M$65="Oval",$CL$11=0.7),GJ26,IF(AND($M$65="Oval",$CL$11=0.9),GJ26,"")))))))))</f>
        <v>0</v>
      </c>
      <c r="GU26" s="51">
        <f>IF(MAX(GQ$5:GR$104)&lt;0.5,GQ26*2,GQ26)</f>
        <v>0</v>
      </c>
      <c r="GV26" s="51">
        <f>IF(MAX(GQ$5:GR$104)&lt;0.5,GR26*2,GR26)</f>
        <v>0</v>
      </c>
      <c r="GY26" s="51">
        <f>IF(AND(GU26=0,GV26=0),GY25,GU26+(0.5*(1-MAX(GU$5:GU$104))))</f>
        <v>0.5</v>
      </c>
      <c r="GZ26" s="51">
        <f>IF(AND(GU26=0,GV26=0),GZ25,GV26+(0.5*(1-MAX(GV$5:GV$104))))</f>
        <v>0.21600000000000003</v>
      </c>
    </row>
    <row r="27" spans="2:208">
      <c r="B27" s="9"/>
      <c r="C27" s="10"/>
      <c r="D27" s="10"/>
      <c r="E27" s="10"/>
      <c r="F27" s="11"/>
      <c r="G27" s="70"/>
      <c r="H27" s="37"/>
      <c r="I27" s="37"/>
      <c r="J27" s="37"/>
      <c r="K27" s="37"/>
      <c r="L27" s="37"/>
      <c r="M27" s="37"/>
      <c r="N27" s="37"/>
      <c r="O27" s="37"/>
      <c r="P27" s="37"/>
      <c r="Q27" s="37"/>
      <c r="R27" s="37"/>
      <c r="S27" s="37"/>
      <c r="T27" s="37"/>
      <c r="U27" s="41"/>
      <c r="V27" s="41"/>
      <c r="W27" s="41"/>
      <c r="X27" s="41"/>
      <c r="Y27" s="41"/>
      <c r="Z27" s="41"/>
      <c r="AA27" s="41"/>
      <c r="AB27" s="41"/>
      <c r="AC27" s="41"/>
      <c r="AD27" s="41"/>
      <c r="AE27" s="67"/>
      <c r="AF27" s="42"/>
      <c r="AG27" s="41"/>
      <c r="AH27" s="41"/>
      <c r="AI27" s="41"/>
      <c r="AJ27" s="4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I27" s="53" t="s">
        <v>86</v>
      </c>
      <c r="CJ27" s="56">
        <f>W68/P62</f>
        <v>3.0694444444444446</v>
      </c>
      <c r="CK27" s="29" t="s">
        <v>87</v>
      </c>
      <c r="CQ27" s="29">
        <v>0.40054800000000002</v>
      </c>
      <c r="CR27" s="50">
        <v>0.40500000000000003</v>
      </c>
      <c r="CS27" s="50" t="s">
        <v>72</v>
      </c>
      <c r="CT27" s="50" t="s">
        <v>72</v>
      </c>
      <c r="CU27" s="50" t="s">
        <v>72</v>
      </c>
      <c r="CV27" s="50" t="s">
        <v>72</v>
      </c>
      <c r="CW27" s="50" t="s">
        <v>72</v>
      </c>
      <c r="CX27" s="50" t="s">
        <v>72</v>
      </c>
      <c r="DY27" s="50"/>
      <c r="EG27" s="29"/>
      <c r="EH27" s="29">
        <v>25</v>
      </c>
      <c r="EI27" s="29">
        <v>105.2</v>
      </c>
      <c r="EJ27" s="29">
        <v>76.7</v>
      </c>
      <c r="EK27" s="29">
        <v>61.6</v>
      </c>
      <c r="EL27" s="29">
        <v>40.1</v>
      </c>
      <c r="EM27" s="29">
        <v>30.5</v>
      </c>
      <c r="EN27" s="29">
        <v>25</v>
      </c>
      <c r="EO27" s="29">
        <v>15.2</v>
      </c>
      <c r="EP27" s="29">
        <v>9.1</v>
      </c>
      <c r="EQ27" s="29">
        <v>5</v>
      </c>
      <c r="EW27" s="29">
        <f t="shared" si="10"/>
        <v>0.18588041320124257</v>
      </c>
      <c r="EX27" s="29">
        <f t="shared" si="11"/>
        <v>6.9499746860882117E-3</v>
      </c>
      <c r="EZ27" s="29">
        <v>330</v>
      </c>
      <c r="FA27" s="50">
        <f t="shared" si="1"/>
        <v>0.39746341100608529</v>
      </c>
      <c r="FB27" s="50">
        <f>(FB$4*SIN(EZ27*PI()/180)+$CJ$11)/2</f>
        <v>0.14199999999999985</v>
      </c>
      <c r="FC27" s="29">
        <v>330</v>
      </c>
      <c r="FD27" s="50">
        <f t="shared" si="2"/>
        <v>0.35330080978318701</v>
      </c>
      <c r="FE27" s="50">
        <f>(FE$4*SIN(FC27*PI()/180)+$CJ$11)/2</f>
        <v>0.14199999999999985</v>
      </c>
      <c r="FF27" s="29">
        <v>23</v>
      </c>
      <c r="FG27" s="29">
        <f t="shared" si="0"/>
        <v>1.4451326206513049</v>
      </c>
      <c r="FH27" s="29">
        <f>($P$20/2000)*SIN(FG27)+($P$20/2000)</f>
        <v>0.4980286753286195</v>
      </c>
      <c r="FI27" s="29">
        <f>($P$20/2000)*COS(FG27)+$P$20/2000</f>
        <v>0.28133330839107606</v>
      </c>
      <c r="FJ27" s="50"/>
      <c r="FL27" s="29">
        <f>IF($P$19="Hexagon",EU27,IF(OR($P$19="Kerbdrain150",$P$19="Kerbdrain280"),FA27,IF(OR($P$19="Channel100",$P$19="Channel150",$P$19="Channel200",$P$19="Channel430"),EW27,IF(AND($P$19="Oval",$CJ$11=0.15),FH27,IF(AND($P$19="Oval",$CJ$11=0.225),FH27,IF(AND($P$19="Oval",$CJ$11=0.35),FH27,IF(AND($P$19="Oval",$CJ$11=0.55),FH27,IF(AND($P$19="Oval",$CJ$11=0.7),FD27,IF(AND($P$19="Oval",$CJ$11=0.9),FD27,"")))))))))</f>
        <v>0</v>
      </c>
      <c r="FM27" s="29">
        <f>IF($P$19="Hexagon",EV27,IF(OR($P$19="Kerbdrain150",$P$19="Kerbdrain280"),FB27,IF(OR($P$19="Channel100",$P$19="Channel150",$P$19="Channel200",$P$19="Channel430"),EX27,IF(AND($P$19="Oval",$CJ$11=0.15),FI27,IF(AND($P$19="Oval",$CJ$11=0.225),FI27,IF(AND($P$19="Oval",$CJ$11=0.35),FI27,IF(AND($P$19="Oval",$CJ$11=0.55),FI27,IF(AND($P$19="Oval",$CJ$11=0.7),FE27,IF(AND($P$19="Oval",$CJ$11=0.9),FE27,"")))))))))</f>
        <v>0</v>
      </c>
      <c r="FP27" s="29">
        <f>IF(MAX(FL$5:FM$104)&lt;0.5,FL27*2,FL27)</f>
        <v>0</v>
      </c>
      <c r="FQ27" s="29">
        <f>IF(MAX(FL$5:FM$104)&lt;0.5,FM27*2,FM27)</f>
        <v>0</v>
      </c>
      <c r="FT27" s="29">
        <f>IF(AND(FP27=0,FQ27=0),FT26,FP27+(0.5*(1-MAX(FP$5:FP$104))))</f>
        <v>0.5</v>
      </c>
      <c r="FU27" s="29">
        <f>IF(AND(FP27=0,FQ27=0),FU26,FQ27+(0.5*(1-MAX(FQ$5:FQ$104))))</f>
        <v>0.21600000000000003</v>
      </c>
      <c r="GB27" s="51">
        <f t="shared" si="16"/>
        <v>0.18588041320124257</v>
      </c>
      <c r="GC27" s="51">
        <f t="shared" si="17"/>
        <v>6.9499746860882117E-3</v>
      </c>
      <c r="GE27" s="51">
        <v>330</v>
      </c>
      <c r="GF27" s="52">
        <f t="shared" si="3"/>
        <v>0.39746341100608529</v>
      </c>
      <c r="GG27" s="52">
        <f>(GG$4*SIN(GE27*PI()/180)+$CL$11)/2</f>
        <v>0.14199999999999985</v>
      </c>
      <c r="GH27" s="51">
        <v>330</v>
      </c>
      <c r="GI27" s="52">
        <f t="shared" si="4"/>
        <v>0.35330080978318701</v>
      </c>
      <c r="GJ27" s="52">
        <f>(GJ$4*SIN(GH27*PI()/180)+$CL$11)/2</f>
        <v>0.14199999999999985</v>
      </c>
      <c r="GK27" s="51">
        <v>23</v>
      </c>
      <c r="GL27" s="51">
        <f t="shared" si="5"/>
        <v>1.4451326206513049</v>
      </c>
      <c r="GM27" s="51">
        <f>($M$66/2000)*SIN(GL27)+($M$66/2000)</f>
        <v>0.4980286753286195</v>
      </c>
      <c r="GN27" s="51">
        <f>($M$66/2000)*COS(GL27)+$M$66/2000</f>
        <v>0.28133330839107606</v>
      </c>
      <c r="GO27" s="52"/>
      <c r="GQ27" s="51">
        <f>IF($M$65="Hexagon",FZ27,IF(OR($M$65="Kerbdrain150",$M$65="Kerbdrain280"),GF27,IF(OR($M$65="Channel100",$M$65="Channel150",$M$65="Channel200",$M$65="Channel430"),GB27,IF(AND($M$65="Oval",$CL$11=0.15),GM27,IF(AND($M$65="Oval",$CL$11=0.225),GM27,IF(AND($M$65="Oval",$CL$11=0.35),GM27,IF(AND($M$65="Oval",$CL$11=0.55),GM27,IF(AND($M$65="Oval",$CL$11=0.7),GI27,IF(AND($M$65="Oval",$CL$11=0.9),GI27,"")))))))))</f>
        <v>0</v>
      </c>
      <c r="GR27" s="51">
        <f>IF($M$65="Hexagon",GA27,IF(OR($M$65="Kerbdrain150",$M$65="Kerbdrain280"),GG27,IF(OR($M$65="Channel100",$M$65="Channel150",$M$65="Channel200",$M$65="Channel430"),GC27,IF(AND($M$65="Oval",$CL$11=0.15),GN27,IF(AND($M$65="Oval",$CL$11=0.225),GN27,IF(AND($M$65="Oval",$CL$11=0.35),GN27,IF(AND($M$65="Oval",$CL$11=0.55),GN27,IF(AND($M$65="Oval",$CL$11=0.7),GJ27,IF(AND($M$65="Oval",$CL$11=0.9),GJ27,"")))))))))</f>
        <v>0</v>
      </c>
      <c r="GU27" s="51">
        <f>IF(MAX(GQ$5:GR$104)&lt;0.5,GQ27*2,GQ27)</f>
        <v>0</v>
      </c>
      <c r="GV27" s="51">
        <f>IF(MAX(GQ$5:GR$104)&lt;0.5,GR27*2,GR27)</f>
        <v>0</v>
      </c>
      <c r="GY27" s="51">
        <f>IF(AND(GU27=0,GV27=0),GY26,GU27+(0.5*(1-MAX(GU$5:GU$104))))</f>
        <v>0.5</v>
      </c>
      <c r="GZ27" s="51">
        <f>IF(AND(GU27=0,GV27=0),GZ26,GV27+(0.5*(1-MAX(GV$5:GV$104))))</f>
        <v>0.21600000000000003</v>
      </c>
    </row>
    <row r="28" spans="2:208">
      <c r="B28" s="9"/>
      <c r="C28" s="10"/>
      <c r="D28" s="10"/>
      <c r="E28" s="10"/>
      <c r="F28" s="11"/>
      <c r="G28" s="70"/>
      <c r="H28" s="37"/>
      <c r="I28" s="37"/>
      <c r="J28" s="37"/>
      <c r="K28" s="37"/>
      <c r="L28" s="37"/>
      <c r="M28" s="37"/>
      <c r="N28" s="37"/>
      <c r="O28" s="37"/>
      <c r="P28" s="37"/>
      <c r="Q28" s="37"/>
      <c r="R28" s="37"/>
      <c r="S28" s="37"/>
      <c r="T28" s="37"/>
      <c r="U28" s="41"/>
      <c r="V28" s="41"/>
      <c r="W28" s="41"/>
      <c r="X28" s="41"/>
      <c r="Y28" s="41"/>
      <c r="Z28" s="41"/>
      <c r="AA28" s="41"/>
      <c r="AB28" s="41"/>
      <c r="AC28" s="41"/>
      <c r="AD28" s="41"/>
      <c r="AE28" s="67"/>
      <c r="AF28" s="42"/>
      <c r="AG28" s="41"/>
      <c r="AH28" s="41"/>
      <c r="AI28" s="41"/>
      <c r="AJ28" s="4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M28" s="29" t="s">
        <v>88</v>
      </c>
      <c r="DY28" s="50"/>
      <c r="EG28" s="29"/>
      <c r="EH28" s="29">
        <v>30</v>
      </c>
      <c r="EI28" s="29">
        <v>108.9</v>
      </c>
      <c r="EJ28" s="29">
        <v>79.7</v>
      </c>
      <c r="EK28" s="29">
        <v>64</v>
      </c>
      <c r="EL28" s="29">
        <v>41.7</v>
      </c>
      <c r="EM28" s="29">
        <v>31.8</v>
      </c>
      <c r="EN28" s="29">
        <v>26.1</v>
      </c>
      <c r="EO28" s="29">
        <v>15.8</v>
      </c>
      <c r="EP28" s="29">
        <v>9.5</v>
      </c>
      <c r="EQ28" s="29">
        <v>6</v>
      </c>
      <c r="EW28" s="29">
        <f t="shared" si="10"/>
        <v>0.17731396397740939</v>
      </c>
      <c r="EX28" s="29">
        <f t="shared" si="11"/>
        <v>4.4611911197343923E-3</v>
      </c>
      <c r="EZ28" s="29">
        <v>345</v>
      </c>
      <c r="FA28" s="50">
        <f t="shared" si="1"/>
        <v>0.41874220099957149</v>
      </c>
      <c r="FB28" s="50">
        <f>(FB$4*SIN(EZ28*PI()/180)+$CJ$11)/2</f>
        <v>0.21049539119088412</v>
      </c>
      <c r="FC28" s="29">
        <v>345</v>
      </c>
      <c r="FD28" s="50">
        <f t="shared" si="2"/>
        <v>0.37221528977739693</v>
      </c>
      <c r="FE28" s="50">
        <f>(FE$4*SIN(FC28*PI()/180)+$CJ$11)/2</f>
        <v>0.21049539119088412</v>
      </c>
      <c r="FF28" s="29">
        <v>24</v>
      </c>
      <c r="FG28" s="29">
        <f t="shared" si="0"/>
        <v>1.5079644737231006</v>
      </c>
      <c r="FH28" s="29">
        <f>($P$20/2000)*SIN(FG28)+($P$20/2000)</f>
        <v>0.49950668210706789</v>
      </c>
      <c r="FI28" s="29">
        <f>($P$20/2000)*COS(FG28)+$P$20/2000</f>
        <v>0.26569762988232837</v>
      </c>
      <c r="FJ28" s="50"/>
      <c r="FL28" s="29">
        <f>IF($P$19="Hexagon",EU28,IF(OR($P$19="Kerbdrain150",$P$19="Kerbdrain280"),FA28,IF(OR($P$19="Channel100",$P$19="Channel150",$P$19="Channel200",$P$19="Channel430"),EW28,IF(AND($P$19="Oval",$CJ$11=0.15),FH28,IF(AND($P$19="Oval",$CJ$11=0.225),FH28,IF(AND($P$19="Oval",$CJ$11=0.35),FH28,IF(AND($P$19="Oval",$CJ$11=0.55),FH28,IF(AND($P$19="Oval",$CJ$11=0.7),FD28,IF(AND($P$19="Oval",$CJ$11=0.9),FD28,"")))))))))</f>
        <v>0</v>
      </c>
      <c r="FM28" s="29">
        <f>IF($P$19="Hexagon",EV28,IF(OR($P$19="Kerbdrain150",$P$19="Kerbdrain280"),FB28,IF(OR($P$19="Channel100",$P$19="Channel150",$P$19="Channel200",$P$19="Channel430"),EX28,IF(AND($P$19="Oval",$CJ$11=0.15),FI28,IF(AND($P$19="Oval",$CJ$11=0.225),FI28,IF(AND($P$19="Oval",$CJ$11=0.35),FI28,IF(AND($P$19="Oval",$CJ$11=0.55),FI28,IF(AND($P$19="Oval",$CJ$11=0.7),FE28,IF(AND($P$19="Oval",$CJ$11=0.9),FE28,"")))))))))</f>
        <v>0</v>
      </c>
      <c r="FP28" s="29">
        <f>IF(MAX(FL$5:FM$104)&lt;0.5,FL28*2,FL28)</f>
        <v>0</v>
      </c>
      <c r="FQ28" s="29">
        <f>IF(MAX(FL$5:FM$104)&lt;0.5,FM28*2,FM28)</f>
        <v>0</v>
      </c>
      <c r="FT28" s="29">
        <f>IF(AND(FP28=0,FQ28=0),FT27,FP28+(0.5*(1-MAX(FP$5:FP$104))))</f>
        <v>0.5</v>
      </c>
      <c r="FU28" s="29">
        <f>IF(AND(FP28=0,FQ28=0),FU27,FQ28+(0.5*(1-MAX(FQ$5:FQ$104))))</f>
        <v>0.21600000000000003</v>
      </c>
      <c r="GB28" s="51">
        <f t="shared" si="16"/>
        <v>0.17731396397740939</v>
      </c>
      <c r="GC28" s="51">
        <f t="shared" si="17"/>
        <v>4.4611911197343923E-3</v>
      </c>
      <c r="GE28" s="51">
        <v>345</v>
      </c>
      <c r="GF28" s="52">
        <f t="shared" si="3"/>
        <v>0.41874220099957149</v>
      </c>
      <c r="GG28" s="52">
        <f>(GG$4*SIN(GE28*PI()/180)+$CL$11)/2</f>
        <v>0.21049539119088412</v>
      </c>
      <c r="GH28" s="51">
        <v>345</v>
      </c>
      <c r="GI28" s="52">
        <f t="shared" si="4"/>
        <v>0.37221528977739693</v>
      </c>
      <c r="GJ28" s="52">
        <f>(GJ$4*SIN(GH28*PI()/180)+$CL$11)/2</f>
        <v>0.21049539119088412</v>
      </c>
      <c r="GK28" s="51">
        <v>24</v>
      </c>
      <c r="GL28" s="51">
        <f t="shared" si="5"/>
        <v>1.5079644737231006</v>
      </c>
      <c r="GM28" s="51">
        <f>($M$66/2000)*SIN(GL28)+($M$66/2000)</f>
        <v>0.49950668210706789</v>
      </c>
      <c r="GN28" s="51">
        <f>($M$66/2000)*COS(GL28)+$M$66/2000</f>
        <v>0.26569762988232837</v>
      </c>
      <c r="GO28" s="52"/>
      <c r="GQ28" s="51">
        <f>IF($M$65="Hexagon",FZ28,IF(OR($M$65="Kerbdrain150",$M$65="Kerbdrain280"),GF28,IF(OR($M$65="Channel100",$M$65="Channel150",$M$65="Channel200",$M$65="Channel430"),GB28,IF(AND($M$65="Oval",$CL$11=0.15),GM28,IF(AND($M$65="Oval",$CL$11=0.225),GM28,IF(AND($M$65="Oval",$CL$11=0.35),GM28,IF(AND($M$65="Oval",$CL$11=0.55),GM28,IF(AND($M$65="Oval",$CL$11=0.7),GI28,IF(AND($M$65="Oval",$CL$11=0.9),GI28,"")))))))))</f>
        <v>0</v>
      </c>
      <c r="GR28" s="51">
        <f>IF($M$65="Hexagon",GA28,IF(OR($M$65="Kerbdrain150",$M$65="Kerbdrain280"),GG28,IF(OR($M$65="Channel100",$M$65="Channel150",$M$65="Channel200",$M$65="Channel430"),GC28,IF(AND($M$65="Oval",$CL$11=0.15),GN28,IF(AND($M$65="Oval",$CL$11=0.225),GN28,IF(AND($M$65="Oval",$CL$11=0.35),GN28,IF(AND($M$65="Oval",$CL$11=0.55),GN28,IF(AND($M$65="Oval",$CL$11=0.7),GJ28,IF(AND($M$65="Oval",$CL$11=0.9),GJ28,"")))))))))</f>
        <v>0</v>
      </c>
      <c r="GU28" s="51">
        <f>IF(MAX(GQ$5:GR$104)&lt;0.5,GQ28*2,GQ28)</f>
        <v>0</v>
      </c>
      <c r="GV28" s="51">
        <f>IF(MAX(GQ$5:GR$104)&lt;0.5,GR28*2,GR28)</f>
        <v>0</v>
      </c>
      <c r="GY28" s="51">
        <f>IF(AND(GU28=0,GV28=0),GY27,GU28+(0.5*(1-MAX(GU$5:GU$104))))</f>
        <v>0.5</v>
      </c>
      <c r="GZ28" s="51">
        <f>IF(AND(GU28=0,GV28=0),GZ27,GV28+(0.5*(1-MAX(GV$5:GV$104))))</f>
        <v>0.21600000000000003</v>
      </c>
    </row>
    <row r="29" spans="2:208">
      <c r="B29" s="9"/>
      <c r="C29" s="10"/>
      <c r="D29" s="10"/>
      <c r="E29" s="10"/>
      <c r="F29" s="11"/>
      <c r="G29" s="70"/>
      <c r="H29" s="135" t="s">
        <v>108</v>
      </c>
      <c r="I29" s="136"/>
      <c r="J29" s="136"/>
      <c r="K29" s="136"/>
      <c r="L29" s="136"/>
      <c r="M29" s="136"/>
      <c r="N29" s="136"/>
      <c r="O29" s="136"/>
      <c r="P29" s="136"/>
      <c r="Q29" s="136"/>
      <c r="R29" s="136"/>
      <c r="S29" s="136"/>
      <c r="T29" s="137"/>
      <c r="U29" s="41"/>
      <c r="V29" s="41"/>
      <c r="W29" s="41"/>
      <c r="X29" s="41"/>
      <c r="Y29" s="41"/>
      <c r="Z29" s="41"/>
      <c r="AA29" s="41"/>
      <c r="AB29" s="41"/>
      <c r="AC29" s="41"/>
      <c r="AD29" s="41"/>
      <c r="AE29" s="67"/>
      <c r="AF29" s="42"/>
      <c r="AG29" s="41"/>
      <c r="AH29" s="41"/>
      <c r="AI29" s="41"/>
      <c r="AJ29" s="4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I29" s="53" t="s">
        <v>89</v>
      </c>
      <c r="CK29" s="29" t="s">
        <v>71</v>
      </c>
      <c r="CM29" s="29">
        <v>180</v>
      </c>
      <c r="CN29" s="29">
        <v>0.18</v>
      </c>
      <c r="CO29" s="29">
        <f t="shared" ref="CO29:CO33" si="29">CT22</f>
        <v>2.4586E-2</v>
      </c>
      <c r="DY29" s="50"/>
      <c r="EG29" s="29"/>
      <c r="EH29" s="29">
        <v>50</v>
      </c>
      <c r="EI29" s="29">
        <v>120.1</v>
      </c>
      <c r="EJ29" s="29">
        <v>88.4</v>
      </c>
      <c r="EK29" s="29">
        <v>71.3</v>
      </c>
      <c r="EL29" s="29">
        <v>46.7</v>
      </c>
      <c r="EM29" s="29">
        <v>35.6</v>
      </c>
      <c r="EN29" s="29">
        <v>29.2</v>
      </c>
      <c r="EO29" s="29">
        <v>17.8</v>
      </c>
      <c r="EP29" s="29">
        <v>10.6</v>
      </c>
      <c r="EQ29" s="29">
        <v>6</v>
      </c>
      <c r="EW29" s="29">
        <f t="shared" si="10"/>
        <v>0.16860814667117296</v>
      </c>
      <c r="EX29" s="29">
        <f t="shared" si="11"/>
        <v>2.5152103965262185E-3</v>
      </c>
      <c r="EZ29" s="29">
        <v>360</v>
      </c>
      <c r="FA29" s="50">
        <f t="shared" si="1"/>
        <v>0.42599999999999993</v>
      </c>
      <c r="FB29" s="50">
        <f>(FB$4*SIN(EZ29*PI()/180)+$CJ$11)/2</f>
        <v>0.28399999999999992</v>
      </c>
      <c r="FC29" s="29">
        <v>360</v>
      </c>
      <c r="FD29" s="50">
        <f t="shared" si="2"/>
        <v>0.37866666666666665</v>
      </c>
      <c r="FE29" s="50">
        <f>(FE$4*SIN(FC29*PI()/180)+$CJ$11)/2</f>
        <v>0.28399999999999992</v>
      </c>
      <c r="FF29" s="29">
        <v>25</v>
      </c>
      <c r="FG29" s="29">
        <f t="shared" si="0"/>
        <v>1.5707963267948966</v>
      </c>
      <c r="FH29" s="29">
        <f>($P$20/2000)*SIN(FG29)+($P$20/2000)</f>
        <v>0.5</v>
      </c>
      <c r="FI29" s="29">
        <f>($P$20/2000)*COS(FG29)+$P$20/2000</f>
        <v>0.25</v>
      </c>
      <c r="FL29" s="29">
        <f>IF($P$19="Hexagon",EU29,IF(OR($P$19="Kerbdrain150",$P$19="Kerbdrain280"),FA29,IF(OR($P$19="Channel100",$P$19="Channel150",$P$19="Channel200",$P$19="Channel430"),EW29,IF(AND($P$19="Oval",$CJ$11=0.15),FH29,IF(AND($P$19="Oval",$CJ$11=0.225),FH29,IF(AND($P$19="Oval",$CJ$11=0.35),FH29,IF(AND($P$19="Oval",$CJ$11=0.55),FH29,IF(AND($P$19="Oval",$CJ$11=0.7),FD29,IF(AND($P$19="Oval",$CJ$11=0.9),FD29,"")))))))))</f>
        <v>0</v>
      </c>
      <c r="FM29" s="29">
        <f>IF($P$19="Hexagon",EV29,IF(OR($P$19="Kerbdrain150",$P$19="Kerbdrain280"),FB29,IF(OR($P$19="Channel100",$P$19="Channel150",$P$19="Channel200",$P$19="Channel430"),EX29,IF(AND($P$19="Oval",$CJ$11=0.15),FI29,IF(AND($P$19="Oval",$CJ$11=0.225),FI29,IF(AND($P$19="Oval",$CJ$11=0.35),FI29,IF(AND($P$19="Oval",$CJ$11=0.55),FI29,IF(AND($P$19="Oval",$CJ$11=0.7),FE29,IF(AND($P$19="Oval",$CJ$11=0.9),FE29,"")))))))))</f>
        <v>0</v>
      </c>
      <c r="FP29" s="29">
        <f>IF(MAX(FL$5:FM$104)&lt;0.5,FL29*2,FL29)</f>
        <v>0</v>
      </c>
      <c r="FQ29" s="29">
        <f>IF(MAX(FL$5:FM$104)&lt;0.5,FM29*2,FM29)</f>
        <v>0</v>
      </c>
      <c r="FT29" s="29">
        <f>IF(AND(FP29=0,FQ29=0),FT28,FP29+(0.5*(1-MAX(FP$5:FP$104))))</f>
        <v>0.5</v>
      </c>
      <c r="FU29" s="29">
        <f>IF(AND(FP29=0,FQ29=0),FU28,FQ29+(0.5*(1-MAX(FQ$5:FQ$104))))</f>
        <v>0.21600000000000003</v>
      </c>
      <c r="GB29" s="51">
        <f t="shared" si="16"/>
        <v>0.16860814667117296</v>
      </c>
      <c r="GC29" s="51">
        <f t="shared" si="17"/>
        <v>2.5152103965262185E-3</v>
      </c>
      <c r="GE29" s="51">
        <v>360</v>
      </c>
      <c r="GF29" s="52">
        <f t="shared" si="3"/>
        <v>0.42599999999999993</v>
      </c>
      <c r="GG29" s="52">
        <f>(GG$4*SIN(GE29*PI()/180)+$CL$11)/2</f>
        <v>0.28399999999999992</v>
      </c>
      <c r="GH29" s="51">
        <v>360</v>
      </c>
      <c r="GI29" s="52">
        <f t="shared" si="4"/>
        <v>0.37866666666666665</v>
      </c>
      <c r="GJ29" s="52">
        <f>(GJ$4*SIN(GH29*PI()/180)+$CL$11)/2</f>
        <v>0.28399999999999992</v>
      </c>
      <c r="GK29" s="51">
        <v>25</v>
      </c>
      <c r="GL29" s="51">
        <f t="shared" si="5"/>
        <v>1.5707963267948966</v>
      </c>
      <c r="GM29" s="51">
        <f>($M$66/2000)*SIN(GL29)+($M$66/2000)</f>
        <v>0.5</v>
      </c>
      <c r="GN29" s="51">
        <f>($M$66/2000)*COS(GL29)+$M$66/2000</f>
        <v>0.25</v>
      </c>
      <c r="GQ29" s="51">
        <f>IF($M$65="Hexagon",FZ29,IF(OR($M$65="Kerbdrain150",$M$65="Kerbdrain280"),GF29,IF(OR($M$65="Channel100",$M$65="Channel150",$M$65="Channel200",$M$65="Channel430"),GB29,IF(AND($M$65="Oval",$CL$11=0.15),GM29,IF(AND($M$65="Oval",$CL$11=0.225),GM29,IF(AND($M$65="Oval",$CL$11=0.35),GM29,IF(AND($M$65="Oval",$CL$11=0.55),GM29,IF(AND($M$65="Oval",$CL$11=0.7),GI29,IF(AND($M$65="Oval",$CL$11=0.9),GI29,"")))))))))</f>
        <v>0</v>
      </c>
      <c r="GR29" s="51">
        <f>IF($M$65="Hexagon",GA29,IF(OR($M$65="Kerbdrain150",$M$65="Kerbdrain280"),GG29,IF(OR($M$65="Channel100",$M$65="Channel150",$M$65="Channel200",$M$65="Channel430"),GC29,IF(AND($M$65="Oval",$CL$11=0.15),GN29,IF(AND($M$65="Oval",$CL$11=0.225),GN29,IF(AND($M$65="Oval",$CL$11=0.35),GN29,IF(AND($M$65="Oval",$CL$11=0.55),GN29,IF(AND($M$65="Oval",$CL$11=0.7),GJ29,IF(AND($M$65="Oval",$CL$11=0.9),GJ29,"")))))))))</f>
        <v>0</v>
      </c>
      <c r="GU29" s="51">
        <f>IF(MAX(GQ$5:GR$104)&lt;0.5,GQ29*2,GQ29)</f>
        <v>0</v>
      </c>
      <c r="GV29" s="51">
        <f>IF(MAX(GQ$5:GR$104)&lt;0.5,GR29*2,GR29)</f>
        <v>0</v>
      </c>
      <c r="GY29" s="51">
        <f>IF(AND(GU29=0,GV29=0),GY28,GU29+(0.5*(1-MAX(GU$5:GU$104))))</f>
        <v>0.5</v>
      </c>
      <c r="GZ29" s="51">
        <f>IF(AND(GU29=0,GV29=0),GZ28,GV29+(0.5*(1-MAX(GV$5:GV$104))))</f>
        <v>0.21600000000000003</v>
      </c>
    </row>
    <row r="30" spans="2:208">
      <c r="B30" s="9"/>
      <c r="C30" s="10"/>
      <c r="D30" s="10"/>
      <c r="E30" s="10"/>
      <c r="F30" s="11"/>
      <c r="G30" s="70"/>
      <c r="H30" s="125" t="s">
        <v>109</v>
      </c>
      <c r="I30" s="138"/>
      <c r="J30" s="138"/>
      <c r="K30" s="138"/>
      <c r="L30" s="138"/>
      <c r="M30" s="138"/>
      <c r="N30" s="138"/>
      <c r="O30" s="136"/>
      <c r="P30" s="136"/>
      <c r="Q30" s="136"/>
      <c r="R30" s="136"/>
      <c r="S30" s="136"/>
      <c r="T30" s="136"/>
      <c r="U30" s="136"/>
      <c r="V30" s="137"/>
      <c r="W30" s="122">
        <f>Y8*Y9*Y10/3600</f>
        <v>306.94444444444446</v>
      </c>
      <c r="X30" s="123"/>
      <c r="Y30" s="124"/>
      <c r="Z30" s="125" t="s">
        <v>2</v>
      </c>
      <c r="AA30" s="126"/>
      <c r="AB30" s="41"/>
      <c r="AC30" s="41"/>
      <c r="AD30" s="41"/>
      <c r="AE30" s="67"/>
      <c r="AF30" s="42"/>
      <c r="AG30" s="41"/>
      <c r="AH30" s="41"/>
      <c r="AI30" s="41"/>
      <c r="AJ30" s="43"/>
      <c r="AK30" s="33"/>
      <c r="CE30" s="33"/>
      <c r="CF30" s="33"/>
      <c r="CG30" s="33"/>
      <c r="CH30" s="29" t="s">
        <v>73</v>
      </c>
      <c r="CI30" s="53" t="s">
        <v>74</v>
      </c>
      <c r="CJ30" s="56">
        <f>HLOOKUP(M$65,CQ$13:CX$19,2,FALSE)</f>
        <v>0.16600000000000001</v>
      </c>
      <c r="CK30" s="29" t="s">
        <v>1</v>
      </c>
      <c r="CM30" s="29">
        <v>230</v>
      </c>
      <c r="CN30" s="29">
        <v>0.23</v>
      </c>
      <c r="CO30" s="29">
        <f t="shared" si="29"/>
        <v>3.2086000000000003E-2</v>
      </c>
      <c r="EG30" s="29"/>
      <c r="EH30" s="29">
        <v>100</v>
      </c>
      <c r="EI30" s="29">
        <v>137.19999999999999</v>
      </c>
      <c r="EJ30" s="29">
        <v>101.9</v>
      </c>
      <c r="EK30" s="29">
        <v>82.6</v>
      </c>
      <c r="EL30" s="29">
        <v>54.3</v>
      </c>
      <c r="EM30" s="29">
        <v>41.6</v>
      </c>
      <c r="EN30" s="29">
        <v>34.200000000000003</v>
      </c>
      <c r="EO30" s="29">
        <v>20.8</v>
      </c>
      <c r="EP30" s="29">
        <v>12.4</v>
      </c>
      <c r="EQ30" s="29">
        <v>7</v>
      </c>
      <c r="EW30" s="29">
        <f t="shared" si="10"/>
        <v>0.15979731916613127</v>
      </c>
      <c r="EX30" s="29">
        <f t="shared" si="11"/>
        <v>1.1197124133441594E-3</v>
      </c>
      <c r="FF30" s="29">
        <v>26</v>
      </c>
      <c r="FG30" s="29">
        <f t="shared" si="0"/>
        <v>1.6336281798666925</v>
      </c>
      <c r="FH30" s="29">
        <f>($P$20/2000)*SIN(FG30)+($P$20/2000)</f>
        <v>0.49950668210706789</v>
      </c>
      <c r="FI30" s="29">
        <f>($P$20/2000)*COS(FG30)+$P$20/2000</f>
        <v>0.23430237011767166</v>
      </c>
      <c r="FL30" s="29">
        <f>IF($P$19="Hexagon",EU30,IF(OR($P$19="Kerbdrain150",$P$19="Kerbdrain280"),FA30,IF(OR($P$19="Channel100",$P$19="Channel150",$P$19="Channel200",$P$19="Channel430"),EW30,IF(AND($P$19="Oval",$CJ$11=0.15),FH30,IF(AND($P$19="Oval",$CJ$11=0.225),FH30,IF(AND($P$19="Oval",$CJ$11=0.35),FH30,IF(AND($P$19="Oval",$CJ$11=0.55),FH30,IF(AND($P$19="Oval",$CJ$11=0.7),FD30,IF(AND($P$19="Oval",$CJ$11=0.9),FD30,"")))))))))</f>
        <v>0</v>
      </c>
      <c r="FM30" s="29">
        <f>IF($P$19="Hexagon",EV30,IF(OR($P$19="Kerbdrain150",$P$19="Kerbdrain280"),FB30,IF(OR($P$19="Channel100",$P$19="Channel150",$P$19="Channel200",$P$19="Channel430"),EX30,IF(AND($P$19="Oval",$CJ$11=0.15),FI30,IF(AND($P$19="Oval",$CJ$11=0.225),FI30,IF(AND($P$19="Oval",$CJ$11=0.35),FI30,IF(AND($P$19="Oval",$CJ$11=0.55),FI30,IF(AND($P$19="Oval",$CJ$11=0.7),FE30,IF(AND($P$19="Oval",$CJ$11=0.9),FE30,"")))))))))</f>
        <v>0</v>
      </c>
      <c r="FP30" s="29">
        <f>IF(MAX(FL$5:FM$104)&lt;0.5,FL30*2,FL30)</f>
        <v>0</v>
      </c>
      <c r="FQ30" s="29">
        <f>IF(MAX(FL$5:FM$104)&lt;0.5,FM30*2,FM30)</f>
        <v>0</v>
      </c>
      <c r="FT30" s="29">
        <f>IF(AND(FP30=0,FQ30=0),FT29,FP30+(0.5*(1-MAX(FP$5:FP$104))))</f>
        <v>0.5</v>
      </c>
      <c r="FU30" s="29">
        <f>IF(AND(FP30=0,FQ30=0),FU29,FQ30+(0.5*(1-MAX(FQ$5:FQ$104))))</f>
        <v>0.21600000000000003</v>
      </c>
      <c r="GB30" s="51">
        <f t="shared" si="16"/>
        <v>0.15979731916613127</v>
      </c>
      <c r="GC30" s="51">
        <f t="shared" si="17"/>
        <v>1.1197124133441594E-3</v>
      </c>
      <c r="GK30" s="51">
        <v>26</v>
      </c>
      <c r="GL30" s="51">
        <f t="shared" si="5"/>
        <v>1.6336281798666925</v>
      </c>
      <c r="GM30" s="51">
        <f>($M$66/2000)*SIN(GL30)+($M$66/2000)</f>
        <v>0.49950668210706789</v>
      </c>
      <c r="GN30" s="51">
        <f>($M$66/2000)*COS(GL30)+$M$66/2000</f>
        <v>0.23430237011767166</v>
      </c>
      <c r="GQ30" s="51">
        <f>IF($M$65="Hexagon",FZ30,IF(OR($M$65="Kerbdrain150",$M$65="Kerbdrain280"),GF30,IF(OR($M$65="Channel100",$M$65="Channel150",$M$65="Channel200",$M$65="Channel430"),GB30,IF(AND($M$65="Oval",$CL$11=0.15),GM30,IF(AND($M$65="Oval",$CL$11=0.225),GM30,IF(AND($M$65="Oval",$CL$11=0.35),GM30,IF(AND($M$65="Oval",$CL$11=0.55),GM30,IF(AND($M$65="Oval",$CL$11=0.7),GI30,IF(AND($M$65="Oval",$CL$11=0.9),GI30,"")))))))))</f>
        <v>0</v>
      </c>
      <c r="GR30" s="51">
        <f>IF($M$65="Hexagon",GA30,IF(OR($M$65="Kerbdrain150",$M$65="Kerbdrain280"),GG30,IF(OR($M$65="Channel100",$M$65="Channel150",$M$65="Channel200",$M$65="Channel430"),GC30,IF(AND($M$65="Oval",$CL$11=0.15),GN30,IF(AND($M$65="Oval",$CL$11=0.225),GN30,IF(AND($M$65="Oval",$CL$11=0.35),GN30,IF(AND($M$65="Oval",$CL$11=0.55),GN30,IF(AND($M$65="Oval",$CL$11=0.7),GJ30,IF(AND($M$65="Oval",$CL$11=0.9),GJ30,"")))))))))</f>
        <v>0</v>
      </c>
      <c r="GU30" s="51">
        <f>IF(MAX(GQ$5:GR$104)&lt;0.5,GQ30*2,GQ30)</f>
        <v>0</v>
      </c>
      <c r="GV30" s="51">
        <f>IF(MAX(GQ$5:GR$104)&lt;0.5,GR30*2,GR30)</f>
        <v>0</v>
      </c>
      <c r="GY30" s="51">
        <f>IF(AND(GU30=0,GV30=0),GY29,GU30+(0.5*(1-MAX(GU$5:GU$104))))</f>
        <v>0.5</v>
      </c>
      <c r="GZ30" s="51">
        <f>IF(AND(GU30=0,GV30=0),GZ29,GV30+(0.5*(1-MAX(GV$5:GV$104))))</f>
        <v>0.21600000000000003</v>
      </c>
    </row>
    <row r="31" spans="2:208">
      <c r="B31" s="9"/>
      <c r="C31" s="10"/>
      <c r="D31" s="10"/>
      <c r="E31" s="10"/>
      <c r="F31" s="11"/>
      <c r="G31" s="70"/>
      <c r="H31" s="118" t="s">
        <v>113</v>
      </c>
      <c r="I31" s="119"/>
      <c r="J31" s="119"/>
      <c r="K31" s="119"/>
      <c r="L31" s="119"/>
      <c r="M31" s="119"/>
      <c r="N31" s="119"/>
      <c r="O31" s="119"/>
      <c r="P31" s="119"/>
      <c r="Q31" s="119"/>
      <c r="R31" s="119"/>
      <c r="S31" s="120"/>
      <c r="T31" s="120"/>
      <c r="U31" s="120"/>
      <c r="V31" s="121"/>
      <c r="W31" s="122">
        <f>(2.66*CJ$12^1.25)*((6.74*(P$14/100)^0.7)+0.4+(P$15/CJ$11)*P$16)*1000</f>
        <v>292.956032919493</v>
      </c>
      <c r="X31" s="123"/>
      <c r="Y31" s="124"/>
      <c r="Z31" s="125" t="s">
        <v>2</v>
      </c>
      <c r="AA31" s="126"/>
      <c r="AB31" s="41"/>
      <c r="AC31" s="41"/>
      <c r="AD31" s="41"/>
      <c r="AE31" s="67"/>
      <c r="AF31" s="127" t="str">
        <f>IF(OR(W30&lt;W31,W30=0),"Acceptable","Too Small")</f>
        <v>Too Small</v>
      </c>
      <c r="AG31" s="128"/>
      <c r="AH31" s="128"/>
      <c r="AI31" s="128"/>
      <c r="AJ31" s="129"/>
      <c r="AK31" s="33"/>
      <c r="CE31" s="33"/>
      <c r="CF31" s="33"/>
      <c r="CG31" s="33"/>
      <c r="CH31" s="29" t="s">
        <v>20</v>
      </c>
      <c r="CI31" s="53" t="s">
        <v>75</v>
      </c>
      <c r="CJ31" s="56">
        <f>HLOOKUP(M$65,CQ$21:CX$27,2,FALSE)</f>
        <v>1.9372E-2</v>
      </c>
      <c r="CK31" s="29" t="s">
        <v>48</v>
      </c>
      <c r="CM31" s="29">
        <v>280</v>
      </c>
      <c r="CN31" s="29">
        <v>0.28000000000000003</v>
      </c>
      <c r="CO31" s="29">
        <f t="shared" si="29"/>
        <v>3.9586000000000003E-2</v>
      </c>
      <c r="EA31" s="50"/>
      <c r="EB31" s="50"/>
      <c r="EG31" s="29"/>
      <c r="EH31" s="29">
        <v>500</v>
      </c>
      <c r="EI31" s="29">
        <v>187</v>
      </c>
      <c r="EJ31" s="29">
        <v>141.6</v>
      </c>
      <c r="EK31" s="29">
        <v>116</v>
      </c>
      <c r="EL31" s="29">
        <v>77.3</v>
      </c>
      <c r="EM31" s="29">
        <v>59.5</v>
      </c>
      <c r="EN31" s="29">
        <v>49</v>
      </c>
      <c r="EO31" s="29">
        <v>30</v>
      </c>
      <c r="EP31" s="29">
        <v>17.899999999999999</v>
      </c>
      <c r="EQ31" s="29">
        <v>10</v>
      </c>
      <c r="EW31" s="29">
        <f t="shared" si="10"/>
        <v>0.15091625377316253</v>
      </c>
      <c r="EX31" s="29">
        <f t="shared" si="11"/>
        <v>2.8020456318544884E-4</v>
      </c>
      <c r="FF31" s="29">
        <v>27</v>
      </c>
      <c r="FG31" s="29">
        <f t="shared" si="0"/>
        <v>1.6964600329384885</v>
      </c>
      <c r="FH31" s="29">
        <f>($P$20/2000)*SIN(FG31)+($P$20/2000)</f>
        <v>0.49802867532861944</v>
      </c>
      <c r="FI31" s="29">
        <f>($P$20/2000)*COS(FG31)+$P$20/2000</f>
        <v>0.21866669160892391</v>
      </c>
      <c r="FL31" s="29">
        <f>IF($P$19="Hexagon",EU31,IF(OR($P$19="Kerbdrain150",$P$19="Kerbdrain280"),FA31,IF(OR($P$19="Channel100",$P$19="Channel150",$P$19="Channel200",$P$19="Channel430"),EW31,IF(AND($P$19="Oval",$CJ$11=0.15),FH31,IF(AND($P$19="Oval",$CJ$11=0.225),FH31,IF(AND($P$19="Oval",$CJ$11=0.35),FH31,IF(AND($P$19="Oval",$CJ$11=0.55),FH31,IF(AND($P$19="Oval",$CJ$11=0.7),FD31,IF(AND($P$19="Oval",$CJ$11=0.9),FD31,"")))))))))</f>
        <v>0</v>
      </c>
      <c r="FM31" s="29">
        <f>IF($P$19="Hexagon",EV31,IF(OR($P$19="Kerbdrain150",$P$19="Kerbdrain280"),FB31,IF(OR($P$19="Channel100",$P$19="Channel150",$P$19="Channel200",$P$19="Channel430"),EX31,IF(AND($P$19="Oval",$CJ$11=0.15),FI31,IF(AND($P$19="Oval",$CJ$11=0.225),FI31,IF(AND($P$19="Oval",$CJ$11=0.35),FI31,IF(AND($P$19="Oval",$CJ$11=0.55),FI31,IF(AND($P$19="Oval",$CJ$11=0.7),FE31,IF(AND($P$19="Oval",$CJ$11=0.9),FE31,"")))))))))</f>
        <v>0</v>
      </c>
      <c r="FP31" s="29">
        <f>IF(MAX(FL$5:FM$104)&lt;0.5,FL31*2,FL31)</f>
        <v>0</v>
      </c>
      <c r="FQ31" s="29">
        <f>IF(MAX(FL$5:FM$104)&lt;0.5,FM31*2,FM31)</f>
        <v>0</v>
      </c>
      <c r="FT31" s="29">
        <f>IF(AND(FP31=0,FQ31=0),FT30,FP31+(0.5*(1-MAX(FP$5:FP$104))))</f>
        <v>0.5</v>
      </c>
      <c r="FU31" s="29">
        <f>IF(AND(FP31=0,FQ31=0),FU30,FQ31+(0.5*(1-MAX(FQ$5:FQ$104))))</f>
        <v>0.21600000000000003</v>
      </c>
      <c r="GB31" s="51">
        <f t="shared" si="16"/>
        <v>0.15091625377316253</v>
      </c>
      <c r="GC31" s="51">
        <f t="shared" si="17"/>
        <v>2.8020456318544884E-4</v>
      </c>
      <c r="GK31" s="51">
        <v>27</v>
      </c>
      <c r="GL31" s="51">
        <f t="shared" si="5"/>
        <v>1.6964600329384885</v>
      </c>
      <c r="GM31" s="51">
        <f>($M$66/2000)*SIN(GL31)+($M$66/2000)</f>
        <v>0.49802867532861944</v>
      </c>
      <c r="GN31" s="51">
        <f>($M$66/2000)*COS(GL31)+$M$66/2000</f>
        <v>0.21866669160892391</v>
      </c>
      <c r="GQ31" s="51">
        <f>IF($M$65="Hexagon",FZ31,IF(OR($M$65="Kerbdrain150",$M$65="Kerbdrain280"),GF31,IF(OR($M$65="Channel100",$M$65="Channel150",$M$65="Channel200",$M$65="Channel430"),GB31,IF(AND($M$65="Oval",$CL$11=0.15),GM31,IF(AND($M$65="Oval",$CL$11=0.225),GM31,IF(AND($M$65="Oval",$CL$11=0.35),GM31,IF(AND($M$65="Oval",$CL$11=0.55),GM31,IF(AND($M$65="Oval",$CL$11=0.7),GI31,IF(AND($M$65="Oval",$CL$11=0.9),GI31,"")))))))))</f>
        <v>0</v>
      </c>
      <c r="GR31" s="51">
        <f>IF($M$65="Hexagon",GA31,IF(OR($M$65="Kerbdrain150",$M$65="Kerbdrain280"),GG31,IF(OR($M$65="Channel100",$M$65="Channel150",$M$65="Channel200",$M$65="Channel430"),GC31,IF(AND($M$65="Oval",$CL$11=0.15),GN31,IF(AND($M$65="Oval",$CL$11=0.225),GN31,IF(AND($M$65="Oval",$CL$11=0.35),GN31,IF(AND($M$65="Oval",$CL$11=0.55),GN31,IF(AND($M$65="Oval",$CL$11=0.7),GJ31,IF(AND($M$65="Oval",$CL$11=0.9),GJ31,"")))))))))</f>
        <v>0</v>
      </c>
      <c r="GU31" s="51">
        <f>IF(MAX(GQ$5:GR$104)&lt;0.5,GQ31*2,GQ31)</f>
        <v>0</v>
      </c>
      <c r="GV31" s="51">
        <f>IF(MAX(GQ$5:GR$104)&lt;0.5,GR31*2,GR31)</f>
        <v>0</v>
      </c>
      <c r="GY31" s="51">
        <f>IF(AND(GU31=0,GV31=0),GY30,GU31+(0.5*(1-MAX(GU$5:GU$104))))</f>
        <v>0.5</v>
      </c>
      <c r="GZ31" s="51">
        <f>IF(AND(GU31=0,GV31=0),GZ30,GV31+(0.5*(1-MAX(GV$5:GV$104))))</f>
        <v>0.21600000000000003</v>
      </c>
    </row>
    <row r="32" spans="2:208">
      <c r="B32" s="9"/>
      <c r="C32" s="10"/>
      <c r="D32" s="10"/>
      <c r="E32" s="10"/>
      <c r="F32" s="11"/>
      <c r="G32" s="70"/>
      <c r="H32" s="37"/>
      <c r="I32" s="37"/>
      <c r="J32" s="37"/>
      <c r="K32" s="37"/>
      <c r="L32" s="37"/>
      <c r="M32" s="37"/>
      <c r="N32" s="37"/>
      <c r="O32" s="37"/>
      <c r="P32" s="37"/>
      <c r="Q32" s="37"/>
      <c r="R32" s="37"/>
      <c r="S32" s="37"/>
      <c r="T32" s="37"/>
      <c r="U32" s="41"/>
      <c r="V32" s="41"/>
      <c r="W32" s="41"/>
      <c r="X32" s="41"/>
      <c r="Y32" s="41"/>
      <c r="Z32" s="41"/>
      <c r="AA32" s="41"/>
      <c r="AB32" s="41"/>
      <c r="AC32" s="41"/>
      <c r="AD32" s="41"/>
      <c r="AE32" s="67"/>
      <c r="AF32" s="42"/>
      <c r="AG32" s="41"/>
      <c r="AH32" s="41"/>
      <c r="AI32" s="41"/>
      <c r="AJ32" s="43"/>
      <c r="AK32" s="33"/>
      <c r="CE32" s="33"/>
      <c r="CF32" s="33"/>
      <c r="CG32" s="33"/>
      <c r="CI32" s="53" t="s">
        <v>19</v>
      </c>
      <c r="CJ32" s="49">
        <v>8</v>
      </c>
      <c r="CM32" s="29">
        <v>330</v>
      </c>
      <c r="CN32" s="29">
        <v>0.33</v>
      </c>
      <c r="CO32" s="29">
        <f t="shared" si="29"/>
        <v>4.7086000000000003E-2</v>
      </c>
      <c r="EG32" s="29"/>
      <c r="EH32" s="29">
        <v>1000</v>
      </c>
      <c r="EI32" s="29">
        <v>213.6</v>
      </c>
      <c r="EJ32" s="29">
        <v>163.1</v>
      </c>
      <c r="EK32" s="29">
        <v>134.30000000000001</v>
      </c>
      <c r="EL32" s="29">
        <v>90</v>
      </c>
      <c r="EM32" s="29">
        <v>69.5</v>
      </c>
      <c r="EN32" s="29">
        <v>57.3</v>
      </c>
      <c r="EO32" s="29">
        <v>35.200000000000003</v>
      </c>
      <c r="EP32" s="29">
        <v>20.9</v>
      </c>
      <c r="EQ32" s="29">
        <v>12</v>
      </c>
      <c r="EW32" s="29">
        <f t="shared" si="10"/>
        <v>0.14200000000000004</v>
      </c>
      <c r="EX32" s="29">
        <f t="shared" si="11"/>
        <v>0</v>
      </c>
      <c r="FF32" s="29">
        <v>28</v>
      </c>
      <c r="FG32" s="29">
        <f t="shared" si="0"/>
        <v>1.7592918860102844</v>
      </c>
      <c r="FH32" s="29">
        <f>($P$20/2000)*SIN(FG32)+($P$20/2000)</f>
        <v>0.49557181268217215</v>
      </c>
      <c r="FI32" s="29">
        <f>($P$20/2000)*COS(FG32)+$P$20/2000</f>
        <v>0.20315467135356879</v>
      </c>
      <c r="FL32" s="29">
        <f>IF($P$19="Hexagon",EU32,IF(OR($P$19="Kerbdrain150",$P$19="Kerbdrain280"),FA32,IF(OR($P$19="Channel100",$P$19="Channel150",$P$19="Channel200",$P$19="Channel430"),EW32,IF(AND($P$19="Oval",$CJ$11=0.15),FH32,IF(AND($P$19="Oval",$CJ$11=0.225),FH32,IF(AND($P$19="Oval",$CJ$11=0.35),FH32,IF(AND($P$19="Oval",$CJ$11=0.55),FH32,IF(AND($P$19="Oval",$CJ$11=0.7),FD32,IF(AND($P$19="Oval",$CJ$11=0.9),FD32,"")))))))))</f>
        <v>0</v>
      </c>
      <c r="FM32" s="29">
        <f>IF($P$19="Hexagon",EV32,IF(OR($P$19="Kerbdrain150",$P$19="Kerbdrain280"),FB32,IF(OR($P$19="Channel100",$P$19="Channel150",$P$19="Channel200",$P$19="Channel430"),EX32,IF(AND($P$19="Oval",$CJ$11=0.15),FI32,IF(AND($P$19="Oval",$CJ$11=0.225),FI32,IF(AND($P$19="Oval",$CJ$11=0.35),FI32,IF(AND($P$19="Oval",$CJ$11=0.55),FI32,IF(AND($P$19="Oval",$CJ$11=0.7),FE32,IF(AND($P$19="Oval",$CJ$11=0.9),FE32,"")))))))))</f>
        <v>0</v>
      </c>
      <c r="FP32" s="29">
        <f>IF(MAX(FL$5:FM$104)&lt;0.5,FL32*2,FL32)</f>
        <v>0</v>
      </c>
      <c r="FQ32" s="29">
        <f>IF(MAX(FL$5:FM$104)&lt;0.5,FM32*2,FM32)</f>
        <v>0</v>
      </c>
      <c r="FT32" s="29">
        <f>IF(AND(FP32=0,FQ32=0),FT31,FP32+(0.5*(1-MAX(FP$5:FP$104))))</f>
        <v>0.5</v>
      </c>
      <c r="FU32" s="29">
        <f>IF(AND(FP32=0,FQ32=0),FU31,FQ32+(0.5*(1-MAX(FQ$5:FQ$104))))</f>
        <v>0.21600000000000003</v>
      </c>
      <c r="GB32" s="51">
        <f t="shared" si="16"/>
        <v>0.14200000000000004</v>
      </c>
      <c r="GC32" s="51">
        <f t="shared" si="17"/>
        <v>0</v>
      </c>
      <c r="GK32" s="51">
        <v>28</v>
      </c>
      <c r="GL32" s="51">
        <f t="shared" si="5"/>
        <v>1.7592918860102844</v>
      </c>
      <c r="GM32" s="51">
        <f>($M$66/2000)*SIN(GL32)+($M$66/2000)</f>
        <v>0.49557181268217215</v>
      </c>
      <c r="GN32" s="51">
        <f>($M$66/2000)*COS(GL32)+$M$66/2000</f>
        <v>0.20315467135356879</v>
      </c>
      <c r="GQ32" s="51">
        <f>IF($M$65="Hexagon",FZ32,IF(OR($M$65="Kerbdrain150",$M$65="Kerbdrain280"),GF32,IF(OR($M$65="Channel100",$M$65="Channel150",$M$65="Channel200",$M$65="Channel430"),GB32,IF(AND($M$65="Oval",$CL$11=0.15),GM32,IF(AND($M$65="Oval",$CL$11=0.225),GM32,IF(AND($M$65="Oval",$CL$11=0.35),GM32,IF(AND($M$65="Oval",$CL$11=0.55),GM32,IF(AND($M$65="Oval",$CL$11=0.7),GI32,IF(AND($M$65="Oval",$CL$11=0.9),GI32,"")))))))))</f>
        <v>0</v>
      </c>
      <c r="GR32" s="51">
        <f>IF($M$65="Hexagon",GA32,IF(OR($M$65="Kerbdrain150",$M$65="Kerbdrain280"),GG32,IF(OR($M$65="Channel100",$M$65="Channel150",$M$65="Channel200",$M$65="Channel430"),GC32,IF(AND($M$65="Oval",$CL$11=0.15),GN32,IF(AND($M$65="Oval",$CL$11=0.225),GN32,IF(AND($M$65="Oval",$CL$11=0.35),GN32,IF(AND($M$65="Oval",$CL$11=0.55),GN32,IF(AND($M$65="Oval",$CL$11=0.7),GJ32,IF(AND($M$65="Oval",$CL$11=0.9),GJ32,"")))))))))</f>
        <v>0</v>
      </c>
      <c r="GU32" s="51">
        <f>IF(MAX(GQ$5:GR$104)&lt;0.5,GQ32*2,GQ32)</f>
        <v>0</v>
      </c>
      <c r="GV32" s="51">
        <f>IF(MAX(GQ$5:GR$104)&lt;0.5,GR32*2,GR32)</f>
        <v>0</v>
      </c>
      <c r="GY32" s="51">
        <f>IF(AND(GU32=0,GV32=0),GY31,GU32+(0.5*(1-MAX(GU$5:GU$104))))</f>
        <v>0.5</v>
      </c>
      <c r="GZ32" s="51">
        <f>IF(AND(GU32=0,GV32=0),GZ31,GV32+(0.5*(1-MAX(GV$5:GV$104))))</f>
        <v>0.21600000000000003</v>
      </c>
    </row>
    <row r="33" spans="2:208">
      <c r="B33" s="9"/>
      <c r="C33" s="10"/>
      <c r="D33" s="10"/>
      <c r="E33" s="10"/>
      <c r="F33" s="11"/>
      <c r="G33" s="70"/>
      <c r="H33" s="37"/>
      <c r="I33" s="37"/>
      <c r="J33" s="37"/>
      <c r="K33" s="37"/>
      <c r="L33" s="37"/>
      <c r="M33" s="37"/>
      <c r="N33" s="37"/>
      <c r="O33" s="37"/>
      <c r="P33" s="37"/>
      <c r="Q33" s="37"/>
      <c r="R33" s="37"/>
      <c r="S33" s="37"/>
      <c r="T33" s="37"/>
      <c r="U33" s="41"/>
      <c r="V33" s="41"/>
      <c r="W33" s="41"/>
      <c r="X33" s="41"/>
      <c r="Y33" s="41"/>
      <c r="Z33" s="41"/>
      <c r="AA33" s="41"/>
      <c r="AB33" s="41"/>
      <c r="AC33" s="41"/>
      <c r="AD33" s="41"/>
      <c r="AE33" s="67"/>
      <c r="AF33" s="42"/>
      <c r="AG33" s="41"/>
      <c r="AH33" s="41"/>
      <c r="AI33" s="41"/>
      <c r="AJ33" s="43"/>
      <c r="AK33" s="33"/>
      <c r="CE33" s="33"/>
      <c r="CF33" s="33"/>
      <c r="CG33" s="33"/>
      <c r="CI33" s="53" t="s">
        <v>90</v>
      </c>
      <c r="CJ33" s="29">
        <f>CJ$27*CJ32</f>
        <v>24.555555555555557</v>
      </c>
      <c r="CM33" s="29">
        <v>380</v>
      </c>
      <c r="CN33" s="29">
        <v>0.38</v>
      </c>
      <c r="CO33" s="29">
        <f t="shared" si="29"/>
        <v>5.4585999999999996E-2</v>
      </c>
      <c r="EG33" s="29"/>
      <c r="EH33" s="29"/>
      <c r="EI33" s="29"/>
      <c r="EJ33" s="29"/>
      <c r="EK33" s="29"/>
      <c r="EL33" s="29"/>
      <c r="EM33" s="29"/>
      <c r="EN33" s="29"/>
      <c r="EO33" s="29"/>
      <c r="EW33" s="29">
        <f t="shared" si="10"/>
        <v>0.13308374622683752</v>
      </c>
      <c r="EX33" s="29">
        <f t="shared" si="11"/>
        <v>2.8020456318544884E-4</v>
      </c>
      <c r="FF33" s="29">
        <v>29</v>
      </c>
      <c r="FG33" s="29">
        <f t="shared" si="0"/>
        <v>1.8221237390820799</v>
      </c>
      <c r="FH33" s="29">
        <f>($P$20/2000)*SIN(FG33)+($P$20/2000)</f>
        <v>0.49214579028215777</v>
      </c>
      <c r="FI33" s="29">
        <f>($P$20/2000)*COS(FG33)+$P$20/2000</f>
        <v>0.18782752820878634</v>
      </c>
      <c r="FL33" s="29">
        <f>IF($P$19="Hexagon",EU33,IF(OR($P$19="Kerbdrain150",$P$19="Kerbdrain280"),FA33,IF(OR($P$19="Channel100",$P$19="Channel150",$P$19="Channel200",$P$19="Channel430"),EW33,IF(AND($P$19="Oval",$CJ$11=0.15),FH33,IF(AND($P$19="Oval",$CJ$11=0.225),FH33,IF(AND($P$19="Oval",$CJ$11=0.35),FH33,IF(AND($P$19="Oval",$CJ$11=0.55),FH33,IF(AND($P$19="Oval",$CJ$11=0.7),FD33,IF(AND($P$19="Oval",$CJ$11=0.9),FD33,"")))))))))</f>
        <v>0</v>
      </c>
      <c r="FM33" s="29">
        <f>IF($P$19="Hexagon",EV33,IF(OR($P$19="Kerbdrain150",$P$19="Kerbdrain280"),FB33,IF(OR($P$19="Channel100",$P$19="Channel150",$P$19="Channel200",$P$19="Channel430"),EX33,IF(AND($P$19="Oval",$CJ$11=0.15),FI33,IF(AND($P$19="Oval",$CJ$11=0.225),FI33,IF(AND($P$19="Oval",$CJ$11=0.35),FI33,IF(AND($P$19="Oval",$CJ$11=0.55),FI33,IF(AND($P$19="Oval",$CJ$11=0.7),FE33,IF(AND($P$19="Oval",$CJ$11=0.9),FE33,"")))))))))</f>
        <v>0</v>
      </c>
      <c r="FP33" s="29">
        <f>IF(MAX(FL$5:FM$104)&lt;0.5,FL33*2,FL33)</f>
        <v>0</v>
      </c>
      <c r="FQ33" s="29">
        <f>IF(MAX(FL$5:FM$104)&lt;0.5,FM33*2,FM33)</f>
        <v>0</v>
      </c>
      <c r="FT33" s="29">
        <f>IF(AND(FP33=0,FQ33=0),FT32,FP33+(0.5*(1-MAX(FP$5:FP$104))))</f>
        <v>0.5</v>
      </c>
      <c r="FU33" s="29">
        <f>IF(AND(FP33=0,FQ33=0),FU32,FQ33+(0.5*(1-MAX(FQ$5:FQ$104))))</f>
        <v>0.21600000000000003</v>
      </c>
      <c r="GB33" s="51">
        <f t="shared" si="16"/>
        <v>0.13308374622683752</v>
      </c>
      <c r="GC33" s="51">
        <f t="shared" si="17"/>
        <v>2.8020456318544884E-4</v>
      </c>
      <c r="GK33" s="51">
        <v>29</v>
      </c>
      <c r="GL33" s="51">
        <f t="shared" si="5"/>
        <v>1.8221237390820799</v>
      </c>
      <c r="GM33" s="51">
        <f>($M$66/2000)*SIN(GL33)+($M$66/2000)</f>
        <v>0.49214579028215777</v>
      </c>
      <c r="GN33" s="51">
        <f>($M$66/2000)*COS(GL33)+$M$66/2000</f>
        <v>0.18782752820878634</v>
      </c>
      <c r="GQ33" s="51">
        <f>IF($M$65="Hexagon",FZ33,IF(OR($M$65="Kerbdrain150",$M$65="Kerbdrain280"),GF33,IF(OR($M$65="Channel100",$M$65="Channel150",$M$65="Channel200",$M$65="Channel430"),GB33,IF(AND($M$65="Oval",$CL$11=0.15),GM33,IF(AND($M$65="Oval",$CL$11=0.225),GM33,IF(AND($M$65="Oval",$CL$11=0.35),GM33,IF(AND($M$65="Oval",$CL$11=0.55),GM33,IF(AND($M$65="Oval",$CL$11=0.7),GI33,IF(AND($M$65="Oval",$CL$11=0.9),GI33,"")))))))))</f>
        <v>0</v>
      </c>
      <c r="GR33" s="51">
        <f>IF($M$65="Hexagon",GA33,IF(OR($M$65="Kerbdrain150",$M$65="Kerbdrain280"),GG33,IF(OR($M$65="Channel100",$M$65="Channel150",$M$65="Channel200",$M$65="Channel430"),GC33,IF(AND($M$65="Oval",$CL$11=0.15),GN33,IF(AND($M$65="Oval",$CL$11=0.225),GN33,IF(AND($M$65="Oval",$CL$11=0.35),GN33,IF(AND($M$65="Oval",$CL$11=0.55),GN33,IF(AND($M$65="Oval",$CL$11=0.7),GJ33,IF(AND($M$65="Oval",$CL$11=0.9),GJ33,"")))))))))</f>
        <v>0</v>
      </c>
      <c r="GU33" s="51">
        <f>IF(MAX(GQ$5:GR$104)&lt;0.5,GQ33*2,GQ33)</f>
        <v>0</v>
      </c>
      <c r="GV33" s="51">
        <f>IF(MAX(GQ$5:GR$104)&lt;0.5,GR33*2,GR33)</f>
        <v>0</v>
      </c>
      <c r="GY33" s="51">
        <f>IF(AND(GU33=0,GV33=0),GY32,GU33+(0.5*(1-MAX(GU$5:GU$104))))</f>
        <v>0.5</v>
      </c>
      <c r="GZ33" s="51">
        <f>IF(AND(GU33=0,GV33=0),GZ32,GV33+(0.5*(1-MAX(GV$5:GV$104))))</f>
        <v>0.21600000000000003</v>
      </c>
    </row>
    <row r="34" spans="2:208">
      <c r="B34" s="9"/>
      <c r="C34" s="10"/>
      <c r="D34" s="10"/>
      <c r="E34" s="10"/>
      <c r="F34" s="11"/>
      <c r="G34" s="70"/>
      <c r="H34" s="37"/>
      <c r="I34" s="37"/>
      <c r="J34" s="37"/>
      <c r="K34" s="37"/>
      <c r="L34" s="37"/>
      <c r="M34" s="37"/>
      <c r="N34" s="37"/>
      <c r="O34" s="37"/>
      <c r="P34" s="37"/>
      <c r="Q34" s="37"/>
      <c r="R34" s="37"/>
      <c r="S34" s="37"/>
      <c r="T34" s="37"/>
      <c r="U34" s="41"/>
      <c r="V34" s="41"/>
      <c r="W34" s="41"/>
      <c r="X34" s="41"/>
      <c r="Y34" s="41"/>
      <c r="Z34" s="41"/>
      <c r="AA34" s="41"/>
      <c r="AB34" s="41"/>
      <c r="AC34" s="41"/>
      <c r="AD34" s="41"/>
      <c r="AE34" s="67"/>
      <c r="AF34" s="42"/>
      <c r="AG34" s="41"/>
      <c r="AH34" s="41"/>
      <c r="AI34" s="41"/>
      <c r="AJ34" s="43"/>
      <c r="AK34" s="33"/>
      <c r="CE34" s="33"/>
      <c r="CF34" s="33"/>
      <c r="CG34" s="33"/>
      <c r="CI34" s="53" t="s">
        <v>91</v>
      </c>
      <c r="CJ34" s="29">
        <f>(2.66*CJ31^1.25)*((6.74*(CJ$22/100)^0.7)+0.4+(CJ32/CJ30)*CJ$23)*1000</f>
        <v>14.632166272181195</v>
      </c>
      <c r="EW34" s="29">
        <f t="shared" si="10"/>
        <v>0.1242026808338688</v>
      </c>
      <c r="EX34" s="29">
        <f t="shared" si="11"/>
        <v>1.1197124133441316E-3</v>
      </c>
      <c r="FF34" s="29">
        <v>30</v>
      </c>
      <c r="FG34" s="29">
        <f t="shared" si="0"/>
        <v>1.8849555921538759</v>
      </c>
      <c r="FH34" s="29">
        <f>($P$20/2000)*SIN(FG34)+($P$20/2000)</f>
        <v>0.48776412907378841</v>
      </c>
      <c r="FI34" s="29">
        <f>($P$20/2000)*COS(FG34)+$P$20/2000</f>
        <v>0.17274575140626316</v>
      </c>
      <c r="FL34" s="29">
        <f>IF($P$19="Hexagon",EU34,IF(OR($P$19="Kerbdrain150",$P$19="Kerbdrain280"),FA34,IF(OR($P$19="Channel100",$P$19="Channel150",$P$19="Channel200",$P$19="Channel430"),EW34,IF(AND($P$19="Oval",$CJ$11=0.15),FH34,IF(AND($P$19="Oval",$CJ$11=0.225),FH34,IF(AND($P$19="Oval",$CJ$11=0.35),FH34,IF(AND($P$19="Oval",$CJ$11=0.55),FH34,IF(AND($P$19="Oval",$CJ$11=0.7),FD34,IF(AND($P$19="Oval",$CJ$11=0.9),FD34,"")))))))))</f>
        <v>0</v>
      </c>
      <c r="FM34" s="29">
        <f>IF($P$19="Hexagon",EV34,IF(OR($P$19="Kerbdrain150",$P$19="Kerbdrain280"),FB34,IF(OR($P$19="Channel100",$P$19="Channel150",$P$19="Channel200",$P$19="Channel430"),EX34,IF(AND($P$19="Oval",$CJ$11=0.15),FI34,IF(AND($P$19="Oval",$CJ$11=0.225),FI34,IF(AND($P$19="Oval",$CJ$11=0.35),FI34,IF(AND($P$19="Oval",$CJ$11=0.55),FI34,IF(AND($P$19="Oval",$CJ$11=0.7),FE34,IF(AND($P$19="Oval",$CJ$11=0.9),FE34,"")))))))))</f>
        <v>0</v>
      </c>
      <c r="FP34" s="29">
        <f>IF(MAX(FL$5:FM$104)&lt;0.5,FL34*2,FL34)</f>
        <v>0</v>
      </c>
      <c r="FQ34" s="29">
        <f>IF(MAX(FL$5:FM$104)&lt;0.5,FM34*2,FM34)</f>
        <v>0</v>
      </c>
      <c r="FT34" s="29">
        <f>IF(AND(FP34=0,FQ34=0),FT33,FP34+(0.5*(1-MAX(FP$5:FP$104))))</f>
        <v>0.5</v>
      </c>
      <c r="FU34" s="29">
        <f>IF(AND(FP34=0,FQ34=0),FU33,FQ34+(0.5*(1-MAX(FQ$5:FQ$104))))</f>
        <v>0.21600000000000003</v>
      </c>
      <c r="GB34" s="51">
        <f t="shared" si="16"/>
        <v>0.1242026808338688</v>
      </c>
      <c r="GC34" s="51">
        <f t="shared" si="17"/>
        <v>1.1197124133441316E-3</v>
      </c>
      <c r="GK34" s="51">
        <v>30</v>
      </c>
      <c r="GL34" s="51">
        <f t="shared" si="5"/>
        <v>1.8849555921538759</v>
      </c>
      <c r="GM34" s="51">
        <f>($M$66/2000)*SIN(GL34)+($M$66/2000)</f>
        <v>0.48776412907378841</v>
      </c>
      <c r="GN34" s="51">
        <f>($M$66/2000)*COS(GL34)+$M$66/2000</f>
        <v>0.17274575140626316</v>
      </c>
      <c r="GQ34" s="51">
        <f>IF($M$65="Hexagon",FZ34,IF(OR($M$65="Kerbdrain150",$M$65="Kerbdrain280"),GF34,IF(OR($M$65="Channel100",$M$65="Channel150",$M$65="Channel200",$M$65="Channel430"),GB34,IF(AND($M$65="Oval",$CL$11=0.15),GM34,IF(AND($M$65="Oval",$CL$11=0.225),GM34,IF(AND($M$65="Oval",$CL$11=0.35),GM34,IF(AND($M$65="Oval",$CL$11=0.55),GM34,IF(AND($M$65="Oval",$CL$11=0.7),GI34,IF(AND($M$65="Oval",$CL$11=0.9),GI34,"")))))))))</f>
        <v>0</v>
      </c>
      <c r="GR34" s="51">
        <f>IF($M$65="Hexagon",GA34,IF(OR($M$65="Kerbdrain150",$M$65="Kerbdrain280"),GG34,IF(OR($M$65="Channel100",$M$65="Channel150",$M$65="Channel200",$M$65="Channel430"),GC34,IF(AND($M$65="Oval",$CL$11=0.15),GN34,IF(AND($M$65="Oval",$CL$11=0.225),GN34,IF(AND($M$65="Oval",$CL$11=0.35),GN34,IF(AND($M$65="Oval",$CL$11=0.55),GN34,IF(AND($M$65="Oval",$CL$11=0.7),GJ34,IF(AND($M$65="Oval",$CL$11=0.9),GJ34,"")))))))))</f>
        <v>0</v>
      </c>
      <c r="GU34" s="51">
        <f>IF(MAX(GQ$5:GR$104)&lt;0.5,GQ34*2,GQ34)</f>
        <v>0</v>
      </c>
      <c r="GV34" s="51">
        <f>IF(MAX(GQ$5:GR$104)&lt;0.5,GR34*2,GR34)</f>
        <v>0</v>
      </c>
      <c r="GY34" s="51">
        <f>IF(AND(GU34=0,GV34=0),GY33,GU34+(0.5*(1-MAX(GU$5:GU$104))))</f>
        <v>0.5</v>
      </c>
      <c r="GZ34" s="51">
        <f>IF(AND(GU34=0,GV34=0),GZ33,GV34+(0.5*(1-MAX(GV$5:GV$104))))</f>
        <v>0.21600000000000003</v>
      </c>
    </row>
    <row r="35" spans="2:208">
      <c r="B35" s="9"/>
      <c r="C35" s="10"/>
      <c r="D35" s="10"/>
      <c r="E35" s="10"/>
      <c r="F35" s="11"/>
      <c r="G35" s="70"/>
      <c r="H35" s="37"/>
      <c r="I35" s="37"/>
      <c r="J35" s="37"/>
      <c r="K35" s="37"/>
      <c r="L35" s="37"/>
      <c r="M35" s="37"/>
      <c r="N35" s="37"/>
      <c r="O35" s="37"/>
      <c r="P35" s="37"/>
      <c r="Q35" s="37"/>
      <c r="R35" s="37"/>
      <c r="S35" s="37"/>
      <c r="T35" s="37"/>
      <c r="U35" s="41"/>
      <c r="V35" s="41"/>
      <c r="W35" s="41"/>
      <c r="X35" s="41"/>
      <c r="Y35" s="41"/>
      <c r="Z35" s="41"/>
      <c r="AA35" s="41"/>
      <c r="AB35" s="41"/>
      <c r="AC35" s="41"/>
      <c r="AD35" s="41"/>
      <c r="AE35" s="67"/>
      <c r="AF35" s="42"/>
      <c r="AG35" s="41"/>
      <c r="AH35" s="41"/>
      <c r="AI35" s="41"/>
      <c r="AJ35" s="43"/>
      <c r="AK35" s="33"/>
      <c r="CE35" s="33"/>
      <c r="CF35" s="33"/>
      <c r="CG35" s="33"/>
      <c r="CI35" s="53" t="str">
        <f>IF(CJ34&gt;CJ33*1.2,"Channel Length Can Be Increased",IF(CJ34&gt;CJ33,"Channel Length Is OK","Insufficient Capacity, Decrease Channel Length"))</f>
        <v>Insufficient Capacity, Decrease Channel Length</v>
      </c>
      <c r="CM35" s="29" t="s">
        <v>92</v>
      </c>
      <c r="EG35" s="29" t="s">
        <v>36</v>
      </c>
      <c r="EH35" s="29" t="s">
        <v>16</v>
      </c>
      <c r="EI35" s="29" t="s">
        <v>37</v>
      </c>
      <c r="EJ35" s="29"/>
      <c r="EK35" s="29"/>
      <c r="EL35" s="29"/>
      <c r="EM35" s="29"/>
      <c r="EN35" s="29"/>
      <c r="EO35" s="29"/>
      <c r="EW35" s="29">
        <f t="shared" si="10"/>
        <v>0.11539185332882709</v>
      </c>
      <c r="EX35" s="29">
        <f t="shared" si="11"/>
        <v>2.5152103965262185E-3</v>
      </c>
      <c r="FF35" s="29">
        <v>31</v>
      </c>
      <c r="FG35" s="29">
        <f t="shared" si="0"/>
        <v>1.9477874452256718</v>
      </c>
      <c r="FH35" s="29">
        <f>($P$20/2000)*SIN(FG35)+($P$20/2000)</f>
        <v>0.48244412147206284</v>
      </c>
      <c r="FI35" s="29">
        <f>($P$20/2000)*COS(FG35)+$P$20/2000</f>
        <v>0.15796886182883052</v>
      </c>
      <c r="FL35" s="29">
        <f>IF($P$19="Hexagon",EU35,IF(OR($P$19="Kerbdrain150",$P$19="Kerbdrain280"),FA35,IF(OR($P$19="Channel100",$P$19="Channel150",$P$19="Channel200",$P$19="Channel430"),EW35,IF(AND($P$19="Oval",$CJ$11=0.15),FH35,IF(AND($P$19="Oval",$CJ$11=0.225),FH35,IF(AND($P$19="Oval",$CJ$11=0.35),FH35,IF(AND($P$19="Oval",$CJ$11=0.55),FH35,IF(AND($P$19="Oval",$CJ$11=0.7),FD35,IF(AND($P$19="Oval",$CJ$11=0.9),FD35,"")))))))))</f>
        <v>0</v>
      </c>
      <c r="FM35" s="29">
        <f>IF($P$19="Hexagon",EV35,IF(OR($P$19="Kerbdrain150",$P$19="Kerbdrain280"),FB35,IF(OR($P$19="Channel100",$P$19="Channel150",$P$19="Channel200",$P$19="Channel430"),EX35,IF(AND($P$19="Oval",$CJ$11=0.15),FI35,IF(AND($P$19="Oval",$CJ$11=0.225),FI35,IF(AND($P$19="Oval",$CJ$11=0.35),FI35,IF(AND($P$19="Oval",$CJ$11=0.55),FI35,IF(AND($P$19="Oval",$CJ$11=0.7),FE35,IF(AND($P$19="Oval",$CJ$11=0.9),FE35,"")))))))))</f>
        <v>0</v>
      </c>
      <c r="FP35" s="29">
        <f>IF(MAX(FL$5:FM$104)&lt;0.5,FL35*2,FL35)</f>
        <v>0</v>
      </c>
      <c r="FQ35" s="29">
        <f>IF(MAX(FL$5:FM$104)&lt;0.5,FM35*2,FM35)</f>
        <v>0</v>
      </c>
      <c r="FT35" s="29">
        <f>IF(AND(FP35=0,FQ35=0),FT34,FP35+(0.5*(1-MAX(FP$5:FP$104))))</f>
        <v>0.5</v>
      </c>
      <c r="FU35" s="29">
        <f>IF(AND(FP35=0,FQ35=0),FU34,FQ35+(0.5*(1-MAX(FQ$5:FQ$104))))</f>
        <v>0.21600000000000003</v>
      </c>
      <c r="GB35" s="51">
        <f t="shared" si="16"/>
        <v>0.11539185332882709</v>
      </c>
      <c r="GC35" s="51">
        <f t="shared" si="17"/>
        <v>2.5152103965262185E-3</v>
      </c>
      <c r="GK35" s="51">
        <v>31</v>
      </c>
      <c r="GL35" s="51">
        <f t="shared" si="5"/>
        <v>1.9477874452256718</v>
      </c>
      <c r="GM35" s="51">
        <f>($M$66/2000)*SIN(GL35)+($M$66/2000)</f>
        <v>0.48244412147206284</v>
      </c>
      <c r="GN35" s="51">
        <f>($M$66/2000)*COS(GL35)+$M$66/2000</f>
        <v>0.15796886182883052</v>
      </c>
      <c r="GQ35" s="51">
        <f>IF($M$65="Hexagon",FZ35,IF(OR($M$65="Kerbdrain150",$M$65="Kerbdrain280"),GF35,IF(OR($M$65="Channel100",$M$65="Channel150",$M$65="Channel200",$M$65="Channel430"),GB35,IF(AND($M$65="Oval",$CL$11=0.15),GM35,IF(AND($M$65="Oval",$CL$11=0.225),GM35,IF(AND($M$65="Oval",$CL$11=0.35),GM35,IF(AND($M$65="Oval",$CL$11=0.55),GM35,IF(AND($M$65="Oval",$CL$11=0.7),GI35,IF(AND($M$65="Oval",$CL$11=0.9),GI35,"")))))))))</f>
        <v>0</v>
      </c>
      <c r="GR35" s="51">
        <f>IF($M$65="Hexagon",GA35,IF(OR($M$65="Kerbdrain150",$M$65="Kerbdrain280"),GG35,IF(OR($M$65="Channel100",$M$65="Channel150",$M$65="Channel200",$M$65="Channel430"),GC35,IF(AND($M$65="Oval",$CL$11=0.15),GN35,IF(AND($M$65="Oval",$CL$11=0.225),GN35,IF(AND($M$65="Oval",$CL$11=0.35),GN35,IF(AND($M$65="Oval",$CL$11=0.55),GN35,IF(AND($M$65="Oval",$CL$11=0.7),GJ35,IF(AND($M$65="Oval",$CL$11=0.9),GJ35,"")))))))))</f>
        <v>0</v>
      </c>
      <c r="GU35" s="51">
        <f>IF(MAX(GQ$5:GR$104)&lt;0.5,GQ35*2,GQ35)</f>
        <v>0</v>
      </c>
      <c r="GV35" s="51">
        <f>IF(MAX(GQ$5:GR$104)&lt;0.5,GR35*2,GR35)</f>
        <v>0</v>
      </c>
      <c r="GY35" s="51">
        <f>IF(AND(GU35=0,GV35=0),GY34,GU35+(0.5*(1-MAX(GU$5:GU$104))))</f>
        <v>0.5</v>
      </c>
      <c r="GZ35" s="51">
        <f>IF(AND(GU35=0,GV35=0),GZ34,GV35+(0.5*(1-MAX(GV$5:GV$104))))</f>
        <v>0.21600000000000003</v>
      </c>
    </row>
    <row r="36" spans="2:208">
      <c r="B36" s="9"/>
      <c r="C36" s="10"/>
      <c r="D36" s="10"/>
      <c r="E36" s="10"/>
      <c r="F36" s="11"/>
      <c r="G36" s="70"/>
      <c r="H36" s="37"/>
      <c r="I36" s="37"/>
      <c r="J36" s="37"/>
      <c r="K36" s="37"/>
      <c r="L36" s="37"/>
      <c r="M36" s="37"/>
      <c r="N36" s="37"/>
      <c r="O36" s="37"/>
      <c r="P36" s="37"/>
      <c r="Q36" s="37"/>
      <c r="R36" s="37"/>
      <c r="S36" s="37"/>
      <c r="T36" s="37"/>
      <c r="U36" s="41"/>
      <c r="V36" s="41"/>
      <c r="W36" s="41"/>
      <c r="X36" s="41"/>
      <c r="Y36" s="41"/>
      <c r="Z36" s="41"/>
      <c r="AA36" s="41"/>
      <c r="AB36" s="41"/>
      <c r="AC36" s="41"/>
      <c r="AD36" s="41"/>
      <c r="AE36" s="67"/>
      <c r="AF36" s="42"/>
      <c r="AG36" s="41"/>
      <c r="AH36" s="41"/>
      <c r="AI36" s="41"/>
      <c r="AJ36" s="43"/>
      <c r="AK36" s="33"/>
      <c r="CE36" s="33"/>
      <c r="CF36" s="33"/>
      <c r="CG36" s="33"/>
      <c r="CM36" s="29">
        <v>240</v>
      </c>
      <c r="CN36" s="29">
        <v>0.24</v>
      </c>
      <c r="CO36" s="29">
        <f t="shared" ref="CO36:CO39" si="30">CU22</f>
        <v>4.5249999999999999E-2</v>
      </c>
      <c r="EG36" s="29"/>
      <c r="EH36" s="29"/>
      <c r="EI36" s="29">
        <v>5</v>
      </c>
      <c r="EJ36" s="29">
        <v>10</v>
      </c>
      <c r="EK36" s="29">
        <v>15</v>
      </c>
      <c r="EL36" s="29">
        <v>30</v>
      </c>
      <c r="EM36" s="29">
        <v>45</v>
      </c>
      <c r="EN36" s="29">
        <v>60</v>
      </c>
      <c r="EO36" s="29">
        <v>120</v>
      </c>
      <c r="EP36" s="29">
        <v>240</v>
      </c>
      <c r="EQ36" s="29">
        <v>480</v>
      </c>
      <c r="EW36" s="29">
        <f t="shared" si="10"/>
        <v>0.10668603602259061</v>
      </c>
      <c r="EX36" s="29">
        <f t="shared" si="11"/>
        <v>4.4611911197343923E-3</v>
      </c>
      <c r="FF36" s="29">
        <v>32</v>
      </c>
      <c r="FG36" s="29">
        <f t="shared" si="0"/>
        <v>2.0106192982974678</v>
      </c>
      <c r="FH36" s="29">
        <f>($P$20/2000)*SIN(FG36)+($P$20/2000)</f>
        <v>0.47620676311650489</v>
      </c>
      <c r="FI36" s="29">
        <f>($P$20/2000)*COS(FG36)+$P$20/2000</f>
        <v>0.14355517710873184</v>
      </c>
      <c r="FL36" s="29">
        <f>IF($P$19="Hexagon",EU36,IF(OR($P$19="Kerbdrain150",$P$19="Kerbdrain280"),FA36,IF(OR($P$19="Channel100",$P$19="Channel150",$P$19="Channel200",$P$19="Channel430"),EW36,IF(AND($P$19="Oval",$CJ$11=0.15),FH36,IF(AND($P$19="Oval",$CJ$11=0.225),FH36,IF(AND($P$19="Oval",$CJ$11=0.35),FH36,IF(AND($P$19="Oval",$CJ$11=0.55),FH36,IF(AND($P$19="Oval",$CJ$11=0.7),FD36,IF(AND($P$19="Oval",$CJ$11=0.9),FD36,"")))))))))</f>
        <v>0</v>
      </c>
      <c r="FM36" s="29">
        <f>IF($P$19="Hexagon",EV36,IF(OR($P$19="Kerbdrain150",$P$19="Kerbdrain280"),FB36,IF(OR($P$19="Channel100",$P$19="Channel150",$P$19="Channel200",$P$19="Channel430"),EX36,IF(AND($P$19="Oval",$CJ$11=0.15),FI36,IF(AND($P$19="Oval",$CJ$11=0.225),FI36,IF(AND($P$19="Oval",$CJ$11=0.35),FI36,IF(AND($P$19="Oval",$CJ$11=0.55),FI36,IF(AND($P$19="Oval",$CJ$11=0.7),FE36,IF(AND($P$19="Oval",$CJ$11=0.9),FE36,"")))))))))</f>
        <v>0</v>
      </c>
      <c r="FP36" s="29">
        <f>IF(MAX(FL$5:FM$104)&lt;0.5,FL36*2,FL36)</f>
        <v>0</v>
      </c>
      <c r="FQ36" s="29">
        <f>IF(MAX(FL$5:FM$104)&lt;0.5,FM36*2,FM36)</f>
        <v>0</v>
      </c>
      <c r="FT36" s="29">
        <f>IF(AND(FP36=0,FQ36=0),FT35,FP36+(0.5*(1-MAX(FP$5:FP$104))))</f>
        <v>0.5</v>
      </c>
      <c r="FU36" s="29">
        <f>IF(AND(FP36=0,FQ36=0),FU35,FQ36+(0.5*(1-MAX(FQ$5:FQ$104))))</f>
        <v>0.21600000000000003</v>
      </c>
      <c r="GB36" s="51">
        <f t="shared" si="16"/>
        <v>0.10668603602259061</v>
      </c>
      <c r="GC36" s="51">
        <f t="shared" si="17"/>
        <v>4.4611911197343923E-3</v>
      </c>
      <c r="GK36" s="51">
        <v>32</v>
      </c>
      <c r="GL36" s="51">
        <f t="shared" si="5"/>
        <v>2.0106192982974678</v>
      </c>
      <c r="GM36" s="51">
        <f>($M$66/2000)*SIN(GL36)+($M$66/2000)</f>
        <v>0.47620676311650489</v>
      </c>
      <c r="GN36" s="51">
        <f>($M$66/2000)*COS(GL36)+$M$66/2000</f>
        <v>0.14355517710873184</v>
      </c>
      <c r="GQ36" s="51">
        <f>IF($M$65="Hexagon",FZ36,IF(OR($M$65="Kerbdrain150",$M$65="Kerbdrain280"),GF36,IF(OR($M$65="Channel100",$M$65="Channel150",$M$65="Channel200",$M$65="Channel430"),GB36,IF(AND($M$65="Oval",$CL$11=0.15),GM36,IF(AND($M$65="Oval",$CL$11=0.225),GM36,IF(AND($M$65="Oval",$CL$11=0.35),GM36,IF(AND($M$65="Oval",$CL$11=0.55),GM36,IF(AND($M$65="Oval",$CL$11=0.7),GI36,IF(AND($M$65="Oval",$CL$11=0.9),GI36,"")))))))))</f>
        <v>0</v>
      </c>
      <c r="GR36" s="51">
        <f>IF($M$65="Hexagon",GA36,IF(OR($M$65="Kerbdrain150",$M$65="Kerbdrain280"),GG36,IF(OR($M$65="Channel100",$M$65="Channel150",$M$65="Channel200",$M$65="Channel430"),GC36,IF(AND($M$65="Oval",$CL$11=0.15),GN36,IF(AND($M$65="Oval",$CL$11=0.225),GN36,IF(AND($M$65="Oval",$CL$11=0.35),GN36,IF(AND($M$65="Oval",$CL$11=0.55),GN36,IF(AND($M$65="Oval",$CL$11=0.7),GJ36,IF(AND($M$65="Oval",$CL$11=0.9),GJ36,"")))))))))</f>
        <v>0</v>
      </c>
      <c r="GU36" s="51">
        <f>IF(MAX(GQ$5:GR$104)&lt;0.5,GQ36*2,GQ36)</f>
        <v>0</v>
      </c>
      <c r="GV36" s="51">
        <f>IF(MAX(GQ$5:GR$104)&lt;0.5,GR36*2,GR36)</f>
        <v>0</v>
      </c>
      <c r="GY36" s="51">
        <f>IF(AND(GU36=0,GV36=0),GY35,GU36+(0.5*(1-MAX(GU$5:GU$104))))</f>
        <v>0.5</v>
      </c>
      <c r="GZ36" s="51">
        <f>IF(AND(GU36=0,GV36=0),GZ35,GV36+(0.5*(1-MAX(GV$5:GV$104))))</f>
        <v>0.21600000000000003</v>
      </c>
    </row>
    <row r="37" spans="2:208">
      <c r="B37" s="9"/>
      <c r="C37" s="10"/>
      <c r="D37" s="10"/>
      <c r="E37" s="10"/>
      <c r="F37" s="11"/>
      <c r="G37" s="70"/>
      <c r="H37" s="37"/>
      <c r="I37" s="37"/>
      <c r="J37" s="37"/>
      <c r="K37" s="37"/>
      <c r="L37" s="37"/>
      <c r="M37" s="37"/>
      <c r="N37" s="37"/>
      <c r="O37" s="37"/>
      <c r="P37" s="37"/>
      <c r="Q37" s="37"/>
      <c r="R37" s="37"/>
      <c r="S37" s="37"/>
      <c r="T37" s="37"/>
      <c r="U37" s="41"/>
      <c r="V37" s="41"/>
      <c r="W37" s="41"/>
      <c r="X37" s="41"/>
      <c r="Y37" s="41"/>
      <c r="Z37" s="41"/>
      <c r="AA37" s="41"/>
      <c r="AB37" s="41"/>
      <c r="AC37" s="41"/>
      <c r="AD37" s="41"/>
      <c r="AE37" s="67"/>
      <c r="AF37" s="42"/>
      <c r="AG37" s="41"/>
      <c r="AH37" s="41"/>
      <c r="AI37" s="41"/>
      <c r="AJ37" s="43"/>
      <c r="AK37" s="33"/>
      <c r="CE37" s="33"/>
      <c r="CF37" s="33"/>
      <c r="CG37" s="33"/>
      <c r="CI37" s="53" t="s">
        <v>93</v>
      </c>
      <c r="CJ37" s="56">
        <f>IF((HLOOKUP(M$65,CQ$5:CX$11,3,FALSE)&gt;M66),"N/A",HLOOKUP(M$65,CQ$5:CX$11,3,FALSE))</f>
        <v>225</v>
      </c>
      <c r="CK37" s="29" t="s">
        <v>71</v>
      </c>
      <c r="CM37" s="29">
        <v>265</v>
      </c>
      <c r="CN37" s="29">
        <v>0.26500000000000001</v>
      </c>
      <c r="CO37" s="29">
        <f t="shared" si="30"/>
        <v>5.0250000000000003E-2</v>
      </c>
      <c r="EG37" s="29" t="s">
        <v>38</v>
      </c>
      <c r="EH37" s="29">
        <v>1</v>
      </c>
      <c r="EI37" s="29">
        <v>34.9</v>
      </c>
      <c r="EJ37" s="29">
        <v>25</v>
      </c>
      <c r="EK37" s="29">
        <v>19.899999999999999</v>
      </c>
      <c r="EL37" s="29">
        <v>13.2</v>
      </c>
      <c r="EM37" s="29">
        <v>10.3</v>
      </c>
      <c r="EN37" s="29">
        <v>8.6</v>
      </c>
      <c r="EO37" s="29">
        <v>5.5</v>
      </c>
      <c r="EP37" s="29">
        <v>3.6</v>
      </c>
      <c r="EQ37" s="29">
        <v>2</v>
      </c>
      <c r="EW37" s="29">
        <f t="shared" si="10"/>
        <v>9.811958679875743E-2</v>
      </c>
      <c r="EX37" s="29">
        <f t="shared" si="11"/>
        <v>6.9499746860882117E-3</v>
      </c>
      <c r="FF37" s="29">
        <v>33</v>
      </c>
      <c r="FG37" s="29">
        <f t="shared" si="0"/>
        <v>2.0734511513692637</v>
      </c>
      <c r="FH37" s="29">
        <f>($P$20/2000)*SIN(FG37)+($P$20/2000)</f>
        <v>0.46907667001096587</v>
      </c>
      <c r="FI37" s="29">
        <f>($P$20/2000)*COS(FG37)+$P$20/2000</f>
        <v>0.12956158147457114</v>
      </c>
      <c r="FL37" s="29">
        <f>IF($P$19="Hexagon",EU37,IF(OR($P$19="Kerbdrain150",$P$19="Kerbdrain280"),FA37,IF(OR($P$19="Channel100",$P$19="Channel150",$P$19="Channel200",$P$19="Channel430"),EW37,IF(AND($P$19="Oval",$CJ$11=0.15),FH37,IF(AND($P$19="Oval",$CJ$11=0.225),FH37,IF(AND($P$19="Oval",$CJ$11=0.35),FH37,IF(AND($P$19="Oval",$CJ$11=0.55),FH37,IF(AND($P$19="Oval",$CJ$11=0.7),FD37,IF(AND($P$19="Oval",$CJ$11=0.9),FD37,"")))))))))</f>
        <v>0</v>
      </c>
      <c r="FM37" s="29">
        <f>IF($P$19="Hexagon",EV37,IF(OR($P$19="Kerbdrain150",$P$19="Kerbdrain280"),FB37,IF(OR($P$19="Channel100",$P$19="Channel150",$P$19="Channel200",$P$19="Channel430"),EX37,IF(AND($P$19="Oval",$CJ$11=0.15),FI37,IF(AND($P$19="Oval",$CJ$11=0.225),FI37,IF(AND($P$19="Oval",$CJ$11=0.35),FI37,IF(AND($P$19="Oval",$CJ$11=0.55),FI37,IF(AND($P$19="Oval",$CJ$11=0.7),FE37,IF(AND($P$19="Oval",$CJ$11=0.9),FE37,"")))))))))</f>
        <v>0</v>
      </c>
      <c r="FP37" s="29">
        <f>IF(MAX(FL$5:FM$104)&lt;0.5,FL37*2,FL37)</f>
        <v>0</v>
      </c>
      <c r="FQ37" s="29">
        <f>IF(MAX(FL$5:FM$104)&lt;0.5,FM37*2,FM37)</f>
        <v>0</v>
      </c>
      <c r="FT37" s="29">
        <f>IF(AND(FP37=0,FQ37=0),FT36,FP37+(0.5*(1-MAX(FP$5:FP$104))))</f>
        <v>0.5</v>
      </c>
      <c r="FU37" s="29">
        <f>IF(AND(FP37=0,FQ37=0),FU36,FQ37+(0.5*(1-MAX(FQ$5:FQ$104))))</f>
        <v>0.21600000000000003</v>
      </c>
      <c r="GB37" s="51">
        <f t="shared" si="16"/>
        <v>9.811958679875743E-2</v>
      </c>
      <c r="GC37" s="51">
        <f t="shared" si="17"/>
        <v>6.9499746860882117E-3</v>
      </c>
      <c r="GK37" s="51">
        <v>33</v>
      </c>
      <c r="GL37" s="51">
        <f t="shared" si="5"/>
        <v>2.0734511513692637</v>
      </c>
      <c r="GM37" s="51">
        <f>($M$66/2000)*SIN(GL37)+($M$66/2000)</f>
        <v>0.46907667001096587</v>
      </c>
      <c r="GN37" s="51">
        <f>($M$66/2000)*COS(GL37)+$M$66/2000</f>
        <v>0.12956158147457114</v>
      </c>
      <c r="GQ37" s="51">
        <f>IF($M$65="Hexagon",FZ37,IF(OR($M$65="Kerbdrain150",$M$65="Kerbdrain280"),GF37,IF(OR($M$65="Channel100",$M$65="Channel150",$M$65="Channel200",$M$65="Channel430"),GB37,IF(AND($M$65="Oval",$CL$11=0.15),GM37,IF(AND($M$65="Oval",$CL$11=0.225),GM37,IF(AND($M$65="Oval",$CL$11=0.35),GM37,IF(AND($M$65="Oval",$CL$11=0.55),GM37,IF(AND($M$65="Oval",$CL$11=0.7),GI37,IF(AND($M$65="Oval",$CL$11=0.9),GI37,"")))))))))</f>
        <v>0</v>
      </c>
      <c r="GR37" s="51">
        <f>IF($M$65="Hexagon",GA37,IF(OR($M$65="Kerbdrain150",$M$65="Kerbdrain280"),GG37,IF(OR($M$65="Channel100",$M$65="Channel150",$M$65="Channel200",$M$65="Channel430"),GC37,IF(AND($M$65="Oval",$CL$11=0.15),GN37,IF(AND($M$65="Oval",$CL$11=0.225),GN37,IF(AND($M$65="Oval",$CL$11=0.35),GN37,IF(AND($M$65="Oval",$CL$11=0.55),GN37,IF(AND($M$65="Oval",$CL$11=0.7),GJ37,IF(AND($M$65="Oval",$CL$11=0.9),GJ37,"")))))))))</f>
        <v>0</v>
      </c>
      <c r="GU37" s="51">
        <f>IF(MAX(GQ$5:GR$104)&lt;0.5,GQ37*2,GQ37)</f>
        <v>0</v>
      </c>
      <c r="GV37" s="51">
        <f>IF(MAX(GQ$5:GR$104)&lt;0.5,GR37*2,GR37)</f>
        <v>0</v>
      </c>
      <c r="GY37" s="51">
        <f>IF(AND(GU37=0,GV37=0),GY36,GU37+(0.5*(1-MAX(GU$5:GU$104))))</f>
        <v>0.5</v>
      </c>
      <c r="GZ37" s="51">
        <f>IF(AND(GU37=0,GV37=0),GZ36,GV37+(0.5*(1-MAX(GV$5:GV$104))))</f>
        <v>0.21600000000000003</v>
      </c>
    </row>
    <row r="38" spans="2:208">
      <c r="B38" s="9"/>
      <c r="C38" s="10"/>
      <c r="D38" s="10"/>
      <c r="E38" s="10"/>
      <c r="F38" s="11"/>
      <c r="G38" s="70"/>
      <c r="H38" s="37"/>
      <c r="I38" s="37"/>
      <c r="J38" s="37"/>
      <c r="K38" s="37"/>
      <c r="L38" s="37"/>
      <c r="M38" s="37"/>
      <c r="N38" s="37"/>
      <c r="O38" s="37"/>
      <c r="P38" s="37"/>
      <c r="Q38" s="37"/>
      <c r="R38" s="37"/>
      <c r="S38" s="37"/>
      <c r="T38" s="37"/>
      <c r="U38" s="41"/>
      <c r="V38" s="41"/>
      <c r="W38" s="41"/>
      <c r="X38" s="41"/>
      <c r="Y38" s="41"/>
      <c r="Z38" s="41"/>
      <c r="AA38" s="41"/>
      <c r="AB38" s="41"/>
      <c r="AC38" s="41"/>
      <c r="AD38" s="41"/>
      <c r="AE38" s="67"/>
      <c r="AF38" s="42"/>
      <c r="AG38" s="41"/>
      <c r="AH38" s="41"/>
      <c r="AI38" s="41"/>
      <c r="AJ38" s="43"/>
      <c r="AK38" s="33"/>
      <c r="CE38" s="33"/>
      <c r="CF38" s="33"/>
      <c r="CG38" s="33"/>
      <c r="CH38" s="29" t="s">
        <v>73</v>
      </c>
      <c r="CI38" s="53" t="s">
        <v>74</v>
      </c>
      <c r="CJ38" s="56">
        <f>IF(CJ37="N/A","N/A",HLOOKUP(M$65,CQ$13:CX$19,3,FALSE))</f>
        <v>0.252</v>
      </c>
      <c r="CK38" s="29" t="s">
        <v>1</v>
      </c>
      <c r="CM38" s="29">
        <v>290</v>
      </c>
      <c r="CN38" s="29">
        <v>0.28999999999999998</v>
      </c>
      <c r="CO38" s="29">
        <f t="shared" si="30"/>
        <v>5.5249999999999994E-2</v>
      </c>
      <c r="EG38" s="29">
        <v>14</v>
      </c>
      <c r="EH38" s="29">
        <v>2</v>
      </c>
      <c r="EI38" s="29">
        <v>41.2</v>
      </c>
      <c r="EJ38" s="29">
        <v>30.7</v>
      </c>
      <c r="EK38" s="29">
        <v>25</v>
      </c>
      <c r="EL38" s="29">
        <v>16.899999999999999</v>
      </c>
      <c r="EM38" s="29">
        <v>13.3</v>
      </c>
      <c r="EN38" s="29">
        <v>11.1</v>
      </c>
      <c r="EO38" s="29">
        <v>7.1</v>
      </c>
      <c r="EP38" s="29">
        <v>4.5</v>
      </c>
      <c r="EQ38" s="29">
        <v>3</v>
      </c>
      <c r="EW38" s="29">
        <f t="shared" si="10"/>
        <v>8.9726313518775691E-2</v>
      </c>
      <c r="EX38" s="29">
        <f t="shared" si="11"/>
        <v>9.9717390038683296E-3</v>
      </c>
      <c r="FF38" s="29">
        <v>34</v>
      </c>
      <c r="FG38" s="29">
        <f t="shared" si="0"/>
        <v>2.1362830044410597</v>
      </c>
      <c r="FH38" s="29">
        <f>($P$20/2000)*SIN(FG38)+($P$20/2000)</f>
        <v>0.46108198137550371</v>
      </c>
      <c r="FI38" s="29">
        <f>($P$20/2000)*COS(FG38)+$P$20/2000</f>
        <v>0.11604330125525078</v>
      </c>
      <c r="FL38" s="29">
        <f>IF($P$19="Hexagon",EU38,IF(OR($P$19="Kerbdrain150",$P$19="Kerbdrain280"),FA38,IF(OR($P$19="Channel100",$P$19="Channel150",$P$19="Channel200",$P$19="Channel430"),EW38,IF(AND($P$19="Oval",$CJ$11=0.15),FH38,IF(AND($P$19="Oval",$CJ$11=0.225),FH38,IF(AND($P$19="Oval",$CJ$11=0.35),FH38,IF(AND($P$19="Oval",$CJ$11=0.55),FH38,IF(AND($P$19="Oval",$CJ$11=0.7),FD38,IF(AND($P$19="Oval",$CJ$11=0.9),FD38,"")))))))))</f>
        <v>0</v>
      </c>
      <c r="FM38" s="29">
        <f>IF($P$19="Hexagon",EV38,IF(OR($P$19="Kerbdrain150",$P$19="Kerbdrain280"),FB38,IF(OR($P$19="Channel100",$P$19="Channel150",$P$19="Channel200",$P$19="Channel430"),EX38,IF(AND($P$19="Oval",$CJ$11=0.15),FI38,IF(AND($P$19="Oval",$CJ$11=0.225),FI38,IF(AND($P$19="Oval",$CJ$11=0.35),FI38,IF(AND($P$19="Oval",$CJ$11=0.55),FI38,IF(AND($P$19="Oval",$CJ$11=0.7),FE38,IF(AND($P$19="Oval",$CJ$11=0.9),FE38,"")))))))))</f>
        <v>0</v>
      </c>
      <c r="FP38" s="29">
        <f>IF(MAX(FL$5:FM$104)&lt;0.5,FL38*2,FL38)</f>
        <v>0</v>
      </c>
      <c r="FQ38" s="29">
        <f>IF(MAX(FL$5:FM$104)&lt;0.5,FM38*2,FM38)</f>
        <v>0</v>
      </c>
      <c r="FT38" s="29">
        <f>IF(AND(FP38=0,FQ38=0),FT37,FP38+(0.5*(1-MAX(FP$5:FP$104))))</f>
        <v>0.5</v>
      </c>
      <c r="FU38" s="29">
        <f>IF(AND(FP38=0,FQ38=0),FU37,FQ38+(0.5*(1-MAX(FQ$5:FQ$104))))</f>
        <v>0.21600000000000003</v>
      </c>
      <c r="GB38" s="51">
        <f t="shared" si="16"/>
        <v>8.9726313518775691E-2</v>
      </c>
      <c r="GC38" s="51">
        <f t="shared" si="17"/>
        <v>9.9717390038683296E-3</v>
      </c>
      <c r="GK38" s="51">
        <v>34</v>
      </c>
      <c r="GL38" s="51">
        <f t="shared" si="5"/>
        <v>2.1362830044410597</v>
      </c>
      <c r="GM38" s="51">
        <f>($M$66/2000)*SIN(GL38)+($M$66/2000)</f>
        <v>0.46108198137550371</v>
      </c>
      <c r="GN38" s="51">
        <f>($M$66/2000)*COS(GL38)+$M$66/2000</f>
        <v>0.11604330125525078</v>
      </c>
      <c r="GQ38" s="51">
        <f>IF($M$65="Hexagon",FZ38,IF(OR($M$65="Kerbdrain150",$M$65="Kerbdrain280"),GF38,IF(OR($M$65="Channel100",$M$65="Channel150",$M$65="Channel200",$M$65="Channel430"),GB38,IF(AND($M$65="Oval",$CL$11=0.15),GM38,IF(AND($M$65="Oval",$CL$11=0.225),GM38,IF(AND($M$65="Oval",$CL$11=0.35),GM38,IF(AND($M$65="Oval",$CL$11=0.55),GM38,IF(AND($M$65="Oval",$CL$11=0.7),GI38,IF(AND($M$65="Oval",$CL$11=0.9),GI38,"")))))))))</f>
        <v>0</v>
      </c>
      <c r="GR38" s="51">
        <f>IF($M$65="Hexagon",GA38,IF(OR($M$65="Kerbdrain150",$M$65="Kerbdrain280"),GG38,IF(OR($M$65="Channel100",$M$65="Channel150",$M$65="Channel200",$M$65="Channel430"),GC38,IF(AND($M$65="Oval",$CL$11=0.15),GN38,IF(AND($M$65="Oval",$CL$11=0.225),GN38,IF(AND($M$65="Oval",$CL$11=0.35),GN38,IF(AND($M$65="Oval",$CL$11=0.55),GN38,IF(AND($M$65="Oval",$CL$11=0.7),GJ38,IF(AND($M$65="Oval",$CL$11=0.9),GJ38,"")))))))))</f>
        <v>0</v>
      </c>
      <c r="GU38" s="51">
        <f>IF(MAX(GQ$5:GR$104)&lt;0.5,GQ38*2,GQ38)</f>
        <v>0</v>
      </c>
      <c r="GV38" s="51">
        <f>IF(MAX(GQ$5:GR$104)&lt;0.5,GR38*2,GR38)</f>
        <v>0</v>
      </c>
      <c r="GY38" s="51">
        <f>IF(AND(GU38=0,GV38=0),GY37,GU38+(0.5*(1-MAX(GU$5:GU$104))))</f>
        <v>0.5</v>
      </c>
      <c r="GZ38" s="51">
        <f>IF(AND(GU38=0,GV38=0),GZ37,GV38+(0.5*(1-MAX(GV$5:GV$104))))</f>
        <v>0.21600000000000003</v>
      </c>
    </row>
    <row r="39" spans="2:208">
      <c r="B39" s="9"/>
      <c r="C39" s="10"/>
      <c r="D39" s="10"/>
      <c r="E39" s="10"/>
      <c r="F39" s="11"/>
      <c r="G39" s="70"/>
      <c r="H39" s="37"/>
      <c r="I39" s="37"/>
      <c r="J39" s="37"/>
      <c r="K39" s="37"/>
      <c r="L39" s="37"/>
      <c r="M39" s="37"/>
      <c r="N39" s="37"/>
      <c r="O39" s="37"/>
      <c r="P39" s="37"/>
      <c r="Q39" s="37"/>
      <c r="R39" s="37"/>
      <c r="S39" s="37"/>
      <c r="T39" s="37"/>
      <c r="U39" s="41"/>
      <c r="V39" s="41"/>
      <c r="W39" s="41"/>
      <c r="X39" s="41"/>
      <c r="Y39" s="41"/>
      <c r="Z39" s="41"/>
      <c r="AA39" s="41"/>
      <c r="AB39" s="41"/>
      <c r="AC39" s="41"/>
      <c r="AD39" s="41"/>
      <c r="AE39" s="67"/>
      <c r="AF39" s="42"/>
      <c r="AG39" s="41"/>
      <c r="AH39" s="41"/>
      <c r="AI39" s="41"/>
      <c r="AJ39" s="43"/>
      <c r="AK39" s="33"/>
      <c r="CE39" s="33"/>
      <c r="CF39" s="33"/>
      <c r="CG39" s="33"/>
      <c r="CH39" s="29" t="s">
        <v>20</v>
      </c>
      <c r="CI39" s="53" t="s">
        <v>75</v>
      </c>
      <c r="CJ39" s="56">
        <f>IF(CJ37="N/A","N/A",HLOOKUP(M$65,CQ$21:CX$27,3,FALSE))</f>
        <v>4.3763000000000003E-2</v>
      </c>
      <c r="CK39" s="29" t="s">
        <v>48</v>
      </c>
      <c r="CM39" s="29">
        <v>315</v>
      </c>
      <c r="CN39" s="29">
        <v>0.315</v>
      </c>
      <c r="CO39" s="29">
        <f t="shared" si="30"/>
        <v>6.0249999999999998E-2</v>
      </c>
      <c r="EG39" s="29" t="s">
        <v>39</v>
      </c>
      <c r="EH39" s="29">
        <v>5</v>
      </c>
      <c r="EI39" s="29">
        <v>54.8</v>
      </c>
      <c r="EJ39" s="29">
        <v>40.5</v>
      </c>
      <c r="EK39" s="29">
        <v>32.9</v>
      </c>
      <c r="EL39" s="29">
        <v>22.1</v>
      </c>
      <c r="EM39" s="29">
        <v>17.2</v>
      </c>
      <c r="EN39" s="29">
        <v>14.3</v>
      </c>
      <c r="EO39" s="29">
        <v>9.1</v>
      </c>
      <c r="EP39" s="29">
        <v>5.7</v>
      </c>
      <c r="EQ39" s="29">
        <v>4</v>
      </c>
      <c r="EW39" s="29">
        <f t="shared" si="10"/>
        <v>8.1539340597759746E-2</v>
      </c>
      <c r="EX39" s="29">
        <f t="shared" si="11"/>
        <v>1.3514558549825195E-2</v>
      </c>
      <c r="FF39" s="29">
        <v>35</v>
      </c>
      <c r="FG39" s="29">
        <f t="shared" si="0"/>
        <v>2.1991148575128552</v>
      </c>
      <c r="FH39" s="29">
        <f>($P$20/2000)*SIN(FG39)+($P$20/2000)</f>
        <v>0.45225424859373686</v>
      </c>
      <c r="FI39" s="29">
        <f>($P$20/2000)*COS(FG39)+$P$20/2000</f>
        <v>0.10305368692688174</v>
      </c>
      <c r="FL39" s="29">
        <f>IF($P$19="Hexagon",EU39,IF(OR($P$19="Kerbdrain150",$P$19="Kerbdrain280"),FA39,IF(OR($P$19="Channel100",$P$19="Channel150",$P$19="Channel200",$P$19="Channel430"),EW39,IF(AND($P$19="Oval",$CJ$11=0.15),FH39,IF(AND($P$19="Oval",$CJ$11=0.225),FH39,IF(AND($P$19="Oval",$CJ$11=0.35),FH39,IF(AND($P$19="Oval",$CJ$11=0.55),FH39,IF(AND($P$19="Oval",$CJ$11=0.7),FD39,IF(AND($P$19="Oval",$CJ$11=0.9),FD39,"")))))))))</f>
        <v>0</v>
      </c>
      <c r="FM39" s="29">
        <f>IF($P$19="Hexagon",EV39,IF(OR($P$19="Kerbdrain150",$P$19="Kerbdrain280"),FB39,IF(OR($P$19="Channel100",$P$19="Channel150",$P$19="Channel200",$P$19="Channel430"),EX39,IF(AND($P$19="Oval",$CJ$11=0.15),FI39,IF(AND($P$19="Oval",$CJ$11=0.225),FI39,IF(AND($P$19="Oval",$CJ$11=0.35),FI39,IF(AND($P$19="Oval",$CJ$11=0.55),FI39,IF(AND($P$19="Oval",$CJ$11=0.7),FE39,IF(AND($P$19="Oval",$CJ$11=0.9),FE39,"")))))))))</f>
        <v>0</v>
      </c>
      <c r="FP39" s="29">
        <f>IF(MAX(FL$5:FM$104)&lt;0.5,FL39*2,FL39)</f>
        <v>0</v>
      </c>
      <c r="FQ39" s="29">
        <f>IF(MAX(FL$5:FM$104)&lt;0.5,FM39*2,FM39)</f>
        <v>0</v>
      </c>
      <c r="FT39" s="29">
        <f>IF(AND(FP39=0,FQ39=0),FT38,FP39+(0.5*(1-MAX(FP$5:FP$104))))</f>
        <v>0.5</v>
      </c>
      <c r="FU39" s="29">
        <f>IF(AND(FP39=0,FQ39=0),FU38,FQ39+(0.5*(1-MAX(FQ$5:FQ$104))))</f>
        <v>0.21600000000000003</v>
      </c>
      <c r="GB39" s="51">
        <f t="shared" si="16"/>
        <v>8.1539340597759746E-2</v>
      </c>
      <c r="GC39" s="51">
        <f t="shared" si="17"/>
        <v>1.3514558549825195E-2</v>
      </c>
      <c r="GK39" s="51">
        <v>35</v>
      </c>
      <c r="GL39" s="51">
        <f t="shared" si="5"/>
        <v>2.1991148575128552</v>
      </c>
      <c r="GM39" s="51">
        <f>($M$66/2000)*SIN(GL39)+($M$66/2000)</f>
        <v>0.45225424859373686</v>
      </c>
      <c r="GN39" s="51">
        <f>($M$66/2000)*COS(GL39)+$M$66/2000</f>
        <v>0.10305368692688174</v>
      </c>
      <c r="GQ39" s="51">
        <f>IF($M$65="Hexagon",FZ39,IF(OR($M$65="Kerbdrain150",$M$65="Kerbdrain280"),GF39,IF(OR($M$65="Channel100",$M$65="Channel150",$M$65="Channel200",$M$65="Channel430"),GB39,IF(AND($M$65="Oval",$CL$11=0.15),GM39,IF(AND($M$65="Oval",$CL$11=0.225),GM39,IF(AND($M$65="Oval",$CL$11=0.35),GM39,IF(AND($M$65="Oval",$CL$11=0.55),GM39,IF(AND($M$65="Oval",$CL$11=0.7),GI39,IF(AND($M$65="Oval",$CL$11=0.9),GI39,"")))))))))</f>
        <v>0</v>
      </c>
      <c r="GR39" s="51">
        <f>IF($M$65="Hexagon",GA39,IF(OR($M$65="Kerbdrain150",$M$65="Kerbdrain280"),GG39,IF(OR($M$65="Channel100",$M$65="Channel150",$M$65="Channel200",$M$65="Channel430"),GC39,IF(AND($M$65="Oval",$CL$11=0.15),GN39,IF(AND($M$65="Oval",$CL$11=0.225),GN39,IF(AND($M$65="Oval",$CL$11=0.35),GN39,IF(AND($M$65="Oval",$CL$11=0.55),GN39,IF(AND($M$65="Oval",$CL$11=0.7),GJ39,IF(AND($M$65="Oval",$CL$11=0.9),GJ39,"")))))))))</f>
        <v>0</v>
      </c>
      <c r="GU39" s="51">
        <f>IF(MAX(GQ$5:GR$104)&lt;0.5,GQ39*2,GQ39)</f>
        <v>0</v>
      </c>
      <c r="GV39" s="51">
        <f>IF(MAX(GQ$5:GR$104)&lt;0.5,GR39*2,GR39)</f>
        <v>0</v>
      </c>
      <c r="GY39" s="51">
        <f>IF(AND(GU39=0,GV39=0),GY38,GU39+(0.5*(1-MAX(GU$5:GU$104))))</f>
        <v>0.5</v>
      </c>
      <c r="GZ39" s="51">
        <f>IF(AND(GU39=0,GV39=0),GZ38,GV39+(0.5*(1-MAX(GV$5:GV$104))))</f>
        <v>0.21600000000000003</v>
      </c>
    </row>
    <row r="40" spans="2:208">
      <c r="B40" s="9"/>
      <c r="C40" s="10"/>
      <c r="D40" s="10"/>
      <c r="E40" s="10"/>
      <c r="F40" s="11"/>
      <c r="G40" s="70"/>
      <c r="H40" s="37"/>
      <c r="I40" s="37"/>
      <c r="J40" s="37"/>
      <c r="K40" s="37"/>
      <c r="L40" s="37"/>
      <c r="M40" s="37"/>
      <c r="N40" s="37"/>
      <c r="O40" s="37"/>
      <c r="P40" s="37"/>
      <c r="Q40" s="37"/>
      <c r="R40" s="37"/>
      <c r="S40" s="37"/>
      <c r="T40" s="37"/>
      <c r="U40" s="41"/>
      <c r="V40" s="41"/>
      <c r="W40" s="41"/>
      <c r="X40" s="41"/>
      <c r="Y40" s="41"/>
      <c r="Z40" s="41"/>
      <c r="AA40" s="41"/>
      <c r="AB40" s="41"/>
      <c r="AC40" s="41"/>
      <c r="AD40" s="41"/>
      <c r="AE40" s="67"/>
      <c r="AF40" s="42"/>
      <c r="AG40" s="41"/>
      <c r="AH40" s="41"/>
      <c r="AI40" s="41"/>
      <c r="AJ40" s="43"/>
      <c r="AK40" s="33"/>
      <c r="CE40" s="33"/>
      <c r="CF40" s="33"/>
      <c r="CG40" s="33"/>
      <c r="CI40" s="53" t="s">
        <v>19</v>
      </c>
      <c r="CJ40" s="49">
        <v>17</v>
      </c>
      <c r="EG40" s="29">
        <v>0.3</v>
      </c>
      <c r="EH40" s="29">
        <v>10</v>
      </c>
      <c r="EI40" s="29">
        <v>62.3</v>
      </c>
      <c r="EJ40" s="29">
        <v>46.3</v>
      </c>
      <c r="EK40" s="29">
        <v>37.799999999999997</v>
      </c>
      <c r="EL40" s="29">
        <v>25.6</v>
      </c>
      <c r="EM40" s="29">
        <v>20</v>
      </c>
      <c r="EN40" s="29">
        <v>16.7</v>
      </c>
      <c r="EO40" s="29">
        <v>10.7</v>
      </c>
      <c r="EP40" s="29">
        <v>6.7</v>
      </c>
      <c r="EQ40" s="29">
        <v>4</v>
      </c>
      <c r="EW40" s="29">
        <f t="shared" si="10"/>
        <v>7.3590978277556479E-2</v>
      </c>
      <c r="EX40" s="29">
        <f t="shared" si="11"/>
        <v>1.7564451433771361E-2</v>
      </c>
      <c r="FF40" s="29">
        <v>36</v>
      </c>
      <c r="FG40" s="29">
        <f t="shared" si="0"/>
        <v>2.2619467105846511</v>
      </c>
      <c r="FH40" s="29">
        <f>($P$20/2000)*SIN(FG40)+($P$20/2000)</f>
        <v>0.44262831069394731</v>
      </c>
      <c r="FI40" s="29">
        <f>($P$20/2000)*COS(FG40)+$P$20/2000</f>
        <v>9.0644002562827564E-2</v>
      </c>
      <c r="FL40" s="29">
        <f>IF($P$19="Hexagon",EU40,IF(OR($P$19="Kerbdrain150",$P$19="Kerbdrain280"),FA40,IF(OR($P$19="Channel100",$P$19="Channel150",$P$19="Channel200",$P$19="Channel430"),EW40,IF(AND($P$19="Oval",$CJ$11=0.15),FH40,IF(AND($P$19="Oval",$CJ$11=0.225),FH40,IF(AND($P$19="Oval",$CJ$11=0.35),FH40,IF(AND($P$19="Oval",$CJ$11=0.55),FH40,IF(AND($P$19="Oval",$CJ$11=0.7),FD40,IF(AND($P$19="Oval",$CJ$11=0.9),FD40,"")))))))))</f>
        <v>0</v>
      </c>
      <c r="FM40" s="29">
        <f>IF($P$19="Hexagon",EV40,IF(OR($P$19="Kerbdrain150",$P$19="Kerbdrain280"),FB40,IF(OR($P$19="Channel100",$P$19="Channel150",$P$19="Channel200",$P$19="Channel430"),EX40,IF(AND($P$19="Oval",$CJ$11=0.15),FI40,IF(AND($P$19="Oval",$CJ$11=0.225),FI40,IF(AND($P$19="Oval",$CJ$11=0.35),FI40,IF(AND($P$19="Oval",$CJ$11=0.55),FI40,IF(AND($P$19="Oval",$CJ$11=0.7),FE40,IF(AND($P$19="Oval",$CJ$11=0.9),FE40,"")))))))))</f>
        <v>0</v>
      </c>
      <c r="FP40" s="29">
        <f>IF(MAX(FL$5:FM$104)&lt;0.5,FL40*2,FL40)</f>
        <v>0</v>
      </c>
      <c r="FQ40" s="29">
        <f>IF(MAX(FL$5:FM$104)&lt;0.5,FM40*2,FM40)</f>
        <v>0</v>
      </c>
      <c r="FT40" s="29">
        <f>IF(AND(FP40=0,FQ40=0),FT39,FP40+(0.5*(1-MAX(FP$5:FP$104))))</f>
        <v>0.5</v>
      </c>
      <c r="FU40" s="29">
        <f>IF(AND(FP40=0,FQ40=0),FU39,FQ40+(0.5*(1-MAX(FQ$5:FQ$104))))</f>
        <v>0.21600000000000003</v>
      </c>
      <c r="GB40" s="51">
        <f t="shared" si="16"/>
        <v>7.3590978277556479E-2</v>
      </c>
      <c r="GC40" s="51">
        <f t="shared" si="17"/>
        <v>1.7564451433771361E-2</v>
      </c>
      <c r="GK40" s="51">
        <v>36</v>
      </c>
      <c r="GL40" s="51">
        <f t="shared" si="5"/>
        <v>2.2619467105846511</v>
      </c>
      <c r="GM40" s="51">
        <f>($M$66/2000)*SIN(GL40)+($M$66/2000)</f>
        <v>0.44262831069394731</v>
      </c>
      <c r="GN40" s="51">
        <f>($M$66/2000)*COS(GL40)+$M$66/2000</f>
        <v>9.0644002562827564E-2</v>
      </c>
      <c r="GQ40" s="51">
        <f>IF($M$65="Hexagon",FZ40,IF(OR($M$65="Kerbdrain150",$M$65="Kerbdrain280"),GF40,IF(OR($M$65="Channel100",$M$65="Channel150",$M$65="Channel200",$M$65="Channel430"),GB40,IF(AND($M$65="Oval",$CL$11=0.15),GM40,IF(AND($M$65="Oval",$CL$11=0.225),GM40,IF(AND($M$65="Oval",$CL$11=0.35),GM40,IF(AND($M$65="Oval",$CL$11=0.55),GM40,IF(AND($M$65="Oval",$CL$11=0.7),GI40,IF(AND($M$65="Oval",$CL$11=0.9),GI40,"")))))))))</f>
        <v>0</v>
      </c>
      <c r="GR40" s="51">
        <f>IF($M$65="Hexagon",GA40,IF(OR($M$65="Kerbdrain150",$M$65="Kerbdrain280"),GG40,IF(OR($M$65="Channel100",$M$65="Channel150",$M$65="Channel200",$M$65="Channel430"),GC40,IF(AND($M$65="Oval",$CL$11=0.15),GN40,IF(AND($M$65="Oval",$CL$11=0.225),GN40,IF(AND($M$65="Oval",$CL$11=0.35),GN40,IF(AND($M$65="Oval",$CL$11=0.55),GN40,IF(AND($M$65="Oval",$CL$11=0.7),GJ40,IF(AND($M$65="Oval",$CL$11=0.9),GJ40,"")))))))))</f>
        <v>0</v>
      </c>
      <c r="GU40" s="51">
        <f>IF(MAX(GQ$5:GR$104)&lt;0.5,GQ40*2,GQ40)</f>
        <v>0</v>
      </c>
      <c r="GV40" s="51">
        <f>IF(MAX(GQ$5:GR$104)&lt;0.5,GR40*2,GR40)</f>
        <v>0</v>
      </c>
      <c r="GY40" s="51">
        <f>IF(AND(GU40=0,GV40=0),GY39,GU40+(0.5*(1-MAX(GU$5:GU$104))))</f>
        <v>0.5</v>
      </c>
      <c r="GZ40" s="51">
        <f>IF(AND(GU40=0,GV40=0),GZ39,GV40+(0.5*(1-MAX(GV$5:GV$104))))</f>
        <v>0.21600000000000003</v>
      </c>
    </row>
    <row r="41" spans="2:208">
      <c r="B41" s="9"/>
      <c r="C41" s="10"/>
      <c r="D41" s="10"/>
      <c r="E41" s="10"/>
      <c r="F41" s="11"/>
      <c r="G41" s="70"/>
      <c r="H41" s="37"/>
      <c r="I41" s="37"/>
      <c r="J41" s="37"/>
      <c r="K41" s="37"/>
      <c r="L41" s="37"/>
      <c r="M41" s="37"/>
      <c r="N41" s="37"/>
      <c r="O41" s="37"/>
      <c r="P41" s="37"/>
      <c r="Q41" s="37"/>
      <c r="R41" s="37"/>
      <c r="S41" s="37"/>
      <c r="T41" s="37"/>
      <c r="U41" s="41"/>
      <c r="V41" s="41"/>
      <c r="W41" s="41"/>
      <c r="X41" s="41"/>
      <c r="Y41" s="41"/>
      <c r="Z41" s="41"/>
      <c r="AA41" s="41"/>
      <c r="AB41" s="41"/>
      <c r="AC41" s="41"/>
      <c r="AD41" s="41"/>
      <c r="AE41" s="67"/>
      <c r="AF41" s="42"/>
      <c r="AG41" s="41"/>
      <c r="AH41" s="41"/>
      <c r="AI41" s="41"/>
      <c r="AJ41" s="43"/>
      <c r="AK41" s="33"/>
      <c r="CE41" s="33"/>
      <c r="CF41" s="33"/>
      <c r="CG41" s="33"/>
      <c r="CI41" s="53" t="s">
        <v>94</v>
      </c>
      <c r="CJ41" s="51">
        <f>IF(CJ37="N/A","N/A",SUM(CJ$32+CJ$40))</f>
        <v>25</v>
      </c>
      <c r="CM41" s="29" t="s">
        <v>95</v>
      </c>
      <c r="EG41" s="29"/>
      <c r="EH41" s="29">
        <v>15</v>
      </c>
      <c r="EI41" s="29">
        <v>67.099999999999994</v>
      </c>
      <c r="EJ41" s="29">
        <v>50.1</v>
      </c>
      <c r="EK41" s="29">
        <v>41</v>
      </c>
      <c r="EL41" s="29">
        <v>27.9</v>
      </c>
      <c r="EM41" s="29">
        <v>21.8</v>
      </c>
      <c r="EN41" s="29">
        <v>18.3</v>
      </c>
      <c r="EO41" s="29">
        <v>11.7</v>
      </c>
      <c r="EP41" s="29">
        <v>7.4</v>
      </c>
      <c r="EQ41" s="29">
        <v>5</v>
      </c>
      <c r="EW41" s="29">
        <f t="shared" si="10"/>
        <v>6.5912595112982517E-2</v>
      </c>
      <c r="EX41" s="29">
        <f t="shared" si="11"/>
        <v>2.2105434578713848E-2</v>
      </c>
      <c r="FF41" s="29">
        <v>37</v>
      </c>
      <c r="FG41" s="29">
        <f t="shared" si="0"/>
        <v>2.3247785636564471</v>
      </c>
      <c r="FH41" s="29">
        <f>($P$20/2000)*SIN(FG41)+($P$20/2000)</f>
        <v>0.43224215685535283</v>
      </c>
      <c r="FI41" s="29">
        <f>($P$20/2000)*COS(FG41)+$P$20/2000</f>
        <v>7.8863223517827818E-2</v>
      </c>
      <c r="FL41" s="29">
        <f>IF($P$19="Hexagon",EU41,IF(OR($P$19="Kerbdrain150",$P$19="Kerbdrain280"),FA41,IF(OR($P$19="Channel100",$P$19="Channel150",$P$19="Channel200",$P$19="Channel430"),EW41,IF(AND($P$19="Oval",$CJ$11=0.15),FH41,IF(AND($P$19="Oval",$CJ$11=0.225),FH41,IF(AND($P$19="Oval",$CJ$11=0.35),FH41,IF(AND($P$19="Oval",$CJ$11=0.55),FH41,IF(AND($P$19="Oval",$CJ$11=0.7),FD41,IF(AND($P$19="Oval",$CJ$11=0.9),FD41,"")))))))))</f>
        <v>0</v>
      </c>
      <c r="FM41" s="29">
        <f>IF($P$19="Hexagon",EV41,IF(OR($P$19="Kerbdrain150",$P$19="Kerbdrain280"),FB41,IF(OR($P$19="Channel100",$P$19="Channel150",$P$19="Channel200",$P$19="Channel430"),EX41,IF(AND($P$19="Oval",$CJ$11=0.15),FI41,IF(AND($P$19="Oval",$CJ$11=0.225),FI41,IF(AND($P$19="Oval",$CJ$11=0.35),FI41,IF(AND($P$19="Oval",$CJ$11=0.55),FI41,IF(AND($P$19="Oval",$CJ$11=0.7),FE41,IF(AND($P$19="Oval",$CJ$11=0.9),FE41,"")))))))))</f>
        <v>0</v>
      </c>
      <c r="FP41" s="29">
        <f>IF(MAX(FL$5:FM$104)&lt;0.5,FL41*2,FL41)</f>
        <v>0</v>
      </c>
      <c r="FQ41" s="29">
        <f>IF(MAX(FL$5:FM$104)&lt;0.5,FM41*2,FM41)</f>
        <v>0</v>
      </c>
      <c r="FT41" s="29">
        <f>IF(AND(FP41=0,FQ41=0),FT40,FP41+(0.5*(1-MAX(FP$5:FP$104))))</f>
        <v>0.5</v>
      </c>
      <c r="FU41" s="29">
        <f>IF(AND(FP41=0,FQ41=0),FU40,FQ41+(0.5*(1-MAX(FQ$5:FQ$104))))</f>
        <v>0.21600000000000003</v>
      </c>
      <c r="GB41" s="51">
        <f t="shared" si="16"/>
        <v>6.5912595112982517E-2</v>
      </c>
      <c r="GC41" s="51">
        <f t="shared" si="17"/>
        <v>2.2105434578713848E-2</v>
      </c>
      <c r="GK41" s="51">
        <v>37</v>
      </c>
      <c r="GL41" s="51">
        <f t="shared" si="5"/>
        <v>2.3247785636564471</v>
      </c>
      <c r="GM41" s="51">
        <f>($M$66/2000)*SIN(GL41)+($M$66/2000)</f>
        <v>0.43224215685535283</v>
      </c>
      <c r="GN41" s="51">
        <f>($M$66/2000)*COS(GL41)+$M$66/2000</f>
        <v>7.8863223517827818E-2</v>
      </c>
      <c r="GQ41" s="51">
        <f>IF($M$65="Hexagon",FZ41,IF(OR($M$65="Kerbdrain150",$M$65="Kerbdrain280"),GF41,IF(OR($M$65="Channel100",$M$65="Channel150",$M$65="Channel200",$M$65="Channel430"),GB41,IF(AND($M$65="Oval",$CL$11=0.15),GM41,IF(AND($M$65="Oval",$CL$11=0.225),GM41,IF(AND($M$65="Oval",$CL$11=0.35),GM41,IF(AND($M$65="Oval",$CL$11=0.55),GM41,IF(AND($M$65="Oval",$CL$11=0.7),GI41,IF(AND($M$65="Oval",$CL$11=0.9),GI41,"")))))))))</f>
        <v>0</v>
      </c>
      <c r="GR41" s="51">
        <f>IF($M$65="Hexagon",GA41,IF(OR($M$65="Kerbdrain150",$M$65="Kerbdrain280"),GG41,IF(OR($M$65="Channel100",$M$65="Channel150",$M$65="Channel200",$M$65="Channel430"),GC41,IF(AND($M$65="Oval",$CL$11=0.15),GN41,IF(AND($M$65="Oval",$CL$11=0.225),GN41,IF(AND($M$65="Oval",$CL$11=0.35),GN41,IF(AND($M$65="Oval",$CL$11=0.55),GN41,IF(AND($M$65="Oval",$CL$11=0.7),GJ41,IF(AND($M$65="Oval",$CL$11=0.9),GJ41,"")))))))))</f>
        <v>0</v>
      </c>
      <c r="GU41" s="51">
        <f>IF(MAX(GQ$5:GR$104)&lt;0.5,GQ41*2,GQ41)</f>
        <v>0</v>
      </c>
      <c r="GV41" s="51">
        <f>IF(MAX(GQ$5:GR$104)&lt;0.5,GR41*2,GR41)</f>
        <v>0</v>
      </c>
      <c r="GY41" s="51">
        <f>IF(AND(GU41=0,GV41=0),GY40,GU41+(0.5*(1-MAX(GU$5:GU$104))))</f>
        <v>0.5</v>
      </c>
      <c r="GZ41" s="51">
        <f>IF(AND(GU41=0,GV41=0),GZ40,GV41+(0.5*(1-MAX(GV$5:GV$104))))</f>
        <v>0.21600000000000003</v>
      </c>
    </row>
    <row r="42" spans="2:208">
      <c r="B42" s="9"/>
      <c r="C42" s="10"/>
      <c r="D42" s="10"/>
      <c r="E42" s="10"/>
      <c r="F42" s="11"/>
      <c r="G42" s="70"/>
      <c r="H42" s="37"/>
      <c r="I42" s="37"/>
      <c r="J42" s="37"/>
      <c r="K42" s="37"/>
      <c r="L42" s="37"/>
      <c r="M42" s="37"/>
      <c r="N42" s="37"/>
      <c r="O42" s="37"/>
      <c r="P42" s="37"/>
      <c r="Q42" s="37"/>
      <c r="R42" s="37"/>
      <c r="S42" s="37"/>
      <c r="T42" s="37"/>
      <c r="U42" s="41"/>
      <c r="V42" s="41"/>
      <c r="W42" s="41"/>
      <c r="X42" s="41"/>
      <c r="Y42" s="41"/>
      <c r="Z42" s="41"/>
      <c r="AA42" s="41"/>
      <c r="AB42" s="41"/>
      <c r="AC42" s="41"/>
      <c r="AD42" s="41"/>
      <c r="AE42" s="67"/>
      <c r="AF42" s="42"/>
      <c r="AG42" s="41"/>
      <c r="AH42" s="41"/>
      <c r="AI42" s="41"/>
      <c r="AJ42" s="4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I42" s="53" t="s">
        <v>90</v>
      </c>
      <c r="CJ42" s="29">
        <f>IF(CJ37="N/A","N/A",CJ$27*CJ40+CJ33)</f>
        <v>76.736111111111114</v>
      </c>
      <c r="CM42" s="29">
        <v>135</v>
      </c>
      <c r="CN42" s="29">
        <v>0.13500000000000001</v>
      </c>
      <c r="CO42" s="29">
        <f t="shared" ref="CO42:CO45" si="31">CV22</f>
        <v>5.5050000000000002E-2</v>
      </c>
      <c r="EG42" s="29"/>
      <c r="EH42" s="29">
        <v>20</v>
      </c>
      <c r="EI42" s="29">
        <v>70.8</v>
      </c>
      <c r="EJ42" s="29">
        <v>53</v>
      </c>
      <c r="EK42" s="29">
        <v>43.4</v>
      </c>
      <c r="EL42" s="29">
        <v>29.6</v>
      </c>
      <c r="EM42" s="29">
        <v>23.2</v>
      </c>
      <c r="EN42" s="29">
        <v>19.399999999999999</v>
      </c>
      <c r="EO42" s="29">
        <v>12.5</v>
      </c>
      <c r="EP42" s="29">
        <v>7.9</v>
      </c>
      <c r="EQ42" s="29">
        <v>5</v>
      </c>
      <c r="EW42" s="29">
        <f t="shared" si="10"/>
        <v>5.8534494174468835E-2</v>
      </c>
      <c r="EX42" s="29">
        <f t="shared" si="11"/>
        <v>2.711958679875745E-2</v>
      </c>
      <c r="FF42" s="29">
        <v>38</v>
      </c>
      <c r="FG42" s="29">
        <f t="shared" si="0"/>
        <v>2.3876104167282426</v>
      </c>
      <c r="FH42" s="29">
        <f>($P$20/2000)*SIN(FG42)+($P$20/2000)</f>
        <v>0.42113677648217218</v>
      </c>
      <c r="FI42" s="29">
        <f>($P$20/2000)*COS(FG42)+$P$20/2000</f>
        <v>6.7757843144647167E-2</v>
      </c>
      <c r="FL42" s="29">
        <f>IF($P$19="Hexagon",EU42,IF(OR($P$19="Kerbdrain150",$P$19="Kerbdrain280"),FA42,IF(OR($P$19="Channel100",$P$19="Channel150",$P$19="Channel200",$P$19="Channel430"),EW42,IF(AND($P$19="Oval",$CJ$11=0.15),FH42,IF(AND($P$19="Oval",$CJ$11=0.225),FH42,IF(AND($P$19="Oval",$CJ$11=0.35),FH42,IF(AND($P$19="Oval",$CJ$11=0.55),FH42,IF(AND($P$19="Oval",$CJ$11=0.7),FD42,IF(AND($P$19="Oval",$CJ$11=0.9),FD42,"")))))))))</f>
        <v>0</v>
      </c>
      <c r="FM42" s="29">
        <f>IF($P$19="Hexagon",EV42,IF(OR($P$19="Kerbdrain150",$P$19="Kerbdrain280"),FB42,IF(OR($P$19="Channel100",$P$19="Channel150",$P$19="Channel200",$P$19="Channel430"),EX42,IF(AND($P$19="Oval",$CJ$11=0.15),FI42,IF(AND($P$19="Oval",$CJ$11=0.225),FI42,IF(AND($P$19="Oval",$CJ$11=0.35),FI42,IF(AND($P$19="Oval",$CJ$11=0.55),FI42,IF(AND($P$19="Oval",$CJ$11=0.7),FE42,IF(AND($P$19="Oval",$CJ$11=0.9),FE42,"")))))))))</f>
        <v>0</v>
      </c>
      <c r="FP42" s="29">
        <f>IF(MAX(FL$5:FM$104)&lt;0.5,FL42*2,FL42)</f>
        <v>0</v>
      </c>
      <c r="FQ42" s="29">
        <f>IF(MAX(FL$5:FM$104)&lt;0.5,FM42*2,FM42)</f>
        <v>0</v>
      </c>
      <c r="FT42" s="29">
        <f>IF(AND(FP42=0,FQ42=0),FT41,FP42+(0.5*(1-MAX(FP$5:FP$104))))</f>
        <v>0.5</v>
      </c>
      <c r="FU42" s="29">
        <f>IF(AND(FP42=0,FQ42=0),FU41,FQ42+(0.5*(1-MAX(FQ$5:FQ$104))))</f>
        <v>0.21600000000000003</v>
      </c>
      <c r="GB42" s="51">
        <f t="shared" si="16"/>
        <v>5.8534494174468835E-2</v>
      </c>
      <c r="GC42" s="51">
        <f t="shared" si="17"/>
        <v>2.711958679875745E-2</v>
      </c>
      <c r="GK42" s="51">
        <v>38</v>
      </c>
      <c r="GL42" s="51">
        <f t="shared" si="5"/>
        <v>2.3876104167282426</v>
      </c>
      <c r="GM42" s="51">
        <f>($M$66/2000)*SIN(GL42)+($M$66/2000)</f>
        <v>0.42113677648217218</v>
      </c>
      <c r="GN42" s="51">
        <f>($M$66/2000)*COS(GL42)+$M$66/2000</f>
        <v>6.7757843144647167E-2</v>
      </c>
      <c r="GQ42" s="51">
        <f>IF($M$65="Hexagon",FZ42,IF(OR($M$65="Kerbdrain150",$M$65="Kerbdrain280"),GF42,IF(OR($M$65="Channel100",$M$65="Channel150",$M$65="Channel200",$M$65="Channel430"),GB42,IF(AND($M$65="Oval",$CL$11=0.15),GM42,IF(AND($M$65="Oval",$CL$11=0.225),GM42,IF(AND($M$65="Oval",$CL$11=0.35),GM42,IF(AND($M$65="Oval",$CL$11=0.55),GM42,IF(AND($M$65="Oval",$CL$11=0.7),GI42,IF(AND($M$65="Oval",$CL$11=0.9),GI42,"")))))))))</f>
        <v>0</v>
      </c>
      <c r="GR42" s="51">
        <f>IF($M$65="Hexagon",GA42,IF(OR($M$65="Kerbdrain150",$M$65="Kerbdrain280"),GG42,IF(OR($M$65="Channel100",$M$65="Channel150",$M$65="Channel200",$M$65="Channel430"),GC42,IF(AND($M$65="Oval",$CL$11=0.15),GN42,IF(AND($M$65="Oval",$CL$11=0.225),GN42,IF(AND($M$65="Oval",$CL$11=0.35),GN42,IF(AND($M$65="Oval",$CL$11=0.55),GN42,IF(AND($M$65="Oval",$CL$11=0.7),GJ42,IF(AND($M$65="Oval",$CL$11=0.9),GJ42,"")))))))))</f>
        <v>0</v>
      </c>
      <c r="GU42" s="51">
        <f>IF(MAX(GQ$5:GR$104)&lt;0.5,GQ42*2,GQ42)</f>
        <v>0</v>
      </c>
      <c r="GV42" s="51">
        <f>IF(MAX(GQ$5:GR$104)&lt;0.5,GR42*2,GR42)</f>
        <v>0</v>
      </c>
      <c r="GY42" s="51">
        <f>IF(AND(GU42=0,GV42=0),GY41,GU42+(0.5*(1-MAX(GU$5:GU$104))))</f>
        <v>0.5</v>
      </c>
      <c r="GZ42" s="51">
        <f>IF(AND(GU42=0,GV42=0),GZ41,GV42+(0.5*(1-MAX(GV$5:GV$104))))</f>
        <v>0.21600000000000003</v>
      </c>
    </row>
    <row r="43" spans="2:208">
      <c r="B43" s="9"/>
      <c r="C43" s="10"/>
      <c r="D43" s="10"/>
      <c r="E43" s="10"/>
      <c r="F43" s="11"/>
      <c r="G43" s="70"/>
      <c r="H43" s="37"/>
      <c r="I43" s="37"/>
      <c r="J43" s="37"/>
      <c r="K43" s="37"/>
      <c r="L43" s="37"/>
      <c r="M43" s="37"/>
      <c r="N43" s="37"/>
      <c r="O43" s="37"/>
      <c r="P43" s="37"/>
      <c r="Q43" s="37"/>
      <c r="R43" s="37"/>
      <c r="S43" s="37"/>
      <c r="T43" s="37"/>
      <c r="U43" s="41"/>
      <c r="V43" s="41"/>
      <c r="W43" s="41"/>
      <c r="X43" s="41"/>
      <c r="Y43" s="41"/>
      <c r="Z43" s="41"/>
      <c r="AA43" s="41"/>
      <c r="AB43" s="41"/>
      <c r="AC43" s="41"/>
      <c r="AD43" s="41"/>
      <c r="AE43" s="67"/>
      <c r="AF43" s="42"/>
      <c r="AG43" s="41"/>
      <c r="AH43" s="41"/>
      <c r="AI43" s="41"/>
      <c r="AJ43" s="4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I43" s="53" t="s">
        <v>91</v>
      </c>
      <c r="CJ43" s="29">
        <f>IF(CJ37="N/A","N/A",(2.66*CJ39^1.25)*((6.74*(CJ$22/100)^0.7)+0.4+(CJ41/CJ38)*CJ$23)*1000)</f>
        <v>41.720228506722613</v>
      </c>
      <c r="CM43" s="29">
        <v>205</v>
      </c>
      <c r="CN43" s="29">
        <v>0.20499999999999999</v>
      </c>
      <c r="CO43" s="29">
        <f t="shared" si="31"/>
        <v>8.514999999999999E-2</v>
      </c>
      <c r="EG43" s="29"/>
      <c r="EH43" s="29">
        <v>25</v>
      </c>
      <c r="EI43" s="29">
        <v>73.7</v>
      </c>
      <c r="EJ43" s="29">
        <v>55.3</v>
      </c>
      <c r="EK43" s="29">
        <v>45.4</v>
      </c>
      <c r="EL43" s="29">
        <v>31.1</v>
      </c>
      <c r="EM43" s="29">
        <v>24.4</v>
      </c>
      <c r="EN43" s="29">
        <v>20.399999999999999</v>
      </c>
      <c r="EO43" s="29">
        <v>13.1</v>
      </c>
      <c r="EP43" s="29">
        <v>8.3000000000000007</v>
      </c>
      <c r="EQ43" s="29">
        <v>5</v>
      </c>
      <c r="EW43" s="29">
        <f t="shared" si="10"/>
        <v>5.1485793455686074E-2</v>
      </c>
      <c r="EX43" s="29">
        <f t="shared" si="11"/>
        <v>3.2587119525837926E-2</v>
      </c>
      <c r="FF43" s="29">
        <v>39</v>
      </c>
      <c r="FG43" s="29">
        <f t="shared" si="0"/>
        <v>2.4504422698000385</v>
      </c>
      <c r="FH43" s="29">
        <f>($P$20/2000)*SIN(FG43)+($P$20/2000)</f>
        <v>0.40935599743717244</v>
      </c>
      <c r="FI43" s="29">
        <f>($P$20/2000)*COS(FG43)+$P$20/2000</f>
        <v>5.7371689306052714E-2</v>
      </c>
      <c r="FL43" s="29">
        <f>IF($P$19="Hexagon",EU43,IF(OR($P$19="Kerbdrain150",$P$19="Kerbdrain280"),FA43,IF(OR($P$19="Channel100",$P$19="Channel150",$P$19="Channel200",$P$19="Channel430"),EW43,IF(AND($P$19="Oval",$CJ$11=0.15),FH43,IF(AND($P$19="Oval",$CJ$11=0.225),FH43,IF(AND($P$19="Oval",$CJ$11=0.35),FH43,IF(AND($P$19="Oval",$CJ$11=0.55),FH43,IF(AND($P$19="Oval",$CJ$11=0.7),FD43,IF(AND($P$19="Oval",$CJ$11=0.9),FD43,"")))))))))</f>
        <v>0</v>
      </c>
      <c r="FM43" s="29">
        <f>IF($P$19="Hexagon",EV43,IF(OR($P$19="Kerbdrain150",$P$19="Kerbdrain280"),FB43,IF(OR($P$19="Channel100",$P$19="Channel150",$P$19="Channel200",$P$19="Channel430"),EX43,IF(AND($P$19="Oval",$CJ$11=0.15),FI43,IF(AND($P$19="Oval",$CJ$11=0.225),FI43,IF(AND($P$19="Oval",$CJ$11=0.35),FI43,IF(AND($P$19="Oval",$CJ$11=0.55),FI43,IF(AND($P$19="Oval",$CJ$11=0.7),FE43,IF(AND($P$19="Oval",$CJ$11=0.9),FE43,"")))))))))</f>
        <v>0</v>
      </c>
      <c r="FP43" s="29">
        <f>IF(MAX(FL$5:FM$104)&lt;0.5,FL43*2,FL43)</f>
        <v>0</v>
      </c>
      <c r="FQ43" s="29">
        <f>IF(MAX(FL$5:FM$104)&lt;0.5,FM43*2,FM43)</f>
        <v>0</v>
      </c>
      <c r="FT43" s="29">
        <f>IF(AND(FP43=0,FQ43=0),FT42,FP43+(0.5*(1-MAX(FP$5:FP$104))))</f>
        <v>0.5</v>
      </c>
      <c r="FU43" s="29">
        <f>IF(AND(FP43=0,FQ43=0),FU42,FQ43+(0.5*(1-MAX(FQ$5:FQ$104))))</f>
        <v>0.21600000000000003</v>
      </c>
      <c r="GB43" s="51">
        <f t="shared" si="16"/>
        <v>5.1485793455686074E-2</v>
      </c>
      <c r="GC43" s="51">
        <f t="shared" si="17"/>
        <v>3.2587119525837926E-2</v>
      </c>
      <c r="GK43" s="51">
        <v>39</v>
      </c>
      <c r="GL43" s="51">
        <f t="shared" si="5"/>
        <v>2.4504422698000385</v>
      </c>
      <c r="GM43" s="51">
        <f>($M$66/2000)*SIN(GL43)+($M$66/2000)</f>
        <v>0.40935599743717244</v>
      </c>
      <c r="GN43" s="51">
        <f>($M$66/2000)*COS(GL43)+$M$66/2000</f>
        <v>5.7371689306052714E-2</v>
      </c>
      <c r="GQ43" s="51">
        <f>IF($M$65="Hexagon",FZ43,IF(OR($M$65="Kerbdrain150",$M$65="Kerbdrain280"),GF43,IF(OR($M$65="Channel100",$M$65="Channel150",$M$65="Channel200",$M$65="Channel430"),GB43,IF(AND($M$65="Oval",$CL$11=0.15),GM43,IF(AND($M$65="Oval",$CL$11=0.225),GM43,IF(AND($M$65="Oval",$CL$11=0.35),GM43,IF(AND($M$65="Oval",$CL$11=0.55),GM43,IF(AND($M$65="Oval",$CL$11=0.7),GI43,IF(AND($M$65="Oval",$CL$11=0.9),GI43,"")))))))))</f>
        <v>0</v>
      </c>
      <c r="GR43" s="51">
        <f>IF($M$65="Hexagon",GA43,IF(OR($M$65="Kerbdrain150",$M$65="Kerbdrain280"),GG43,IF(OR($M$65="Channel100",$M$65="Channel150",$M$65="Channel200",$M$65="Channel430"),GC43,IF(AND($M$65="Oval",$CL$11=0.15),GN43,IF(AND($M$65="Oval",$CL$11=0.225),GN43,IF(AND($M$65="Oval",$CL$11=0.35),GN43,IF(AND($M$65="Oval",$CL$11=0.55),GN43,IF(AND($M$65="Oval",$CL$11=0.7),GJ43,IF(AND($M$65="Oval",$CL$11=0.9),GJ43,"")))))))))</f>
        <v>0</v>
      </c>
      <c r="GU43" s="51">
        <f>IF(MAX(GQ$5:GR$104)&lt;0.5,GQ43*2,GQ43)</f>
        <v>0</v>
      </c>
      <c r="GV43" s="51">
        <f>IF(MAX(GQ$5:GR$104)&lt;0.5,GR43*2,GR43)</f>
        <v>0</v>
      </c>
      <c r="GY43" s="51">
        <f>IF(AND(GU43=0,GV43=0),GY42,GU43+(0.5*(1-MAX(GU$5:GU$104))))</f>
        <v>0.5</v>
      </c>
      <c r="GZ43" s="51">
        <f>IF(AND(GU43=0,GV43=0),GZ42,GV43+(0.5*(1-MAX(GV$5:GV$104))))</f>
        <v>0.21600000000000003</v>
      </c>
    </row>
    <row r="44" spans="2:208">
      <c r="B44" s="9"/>
      <c r="C44" s="10"/>
      <c r="D44" s="10"/>
      <c r="E44" s="10"/>
      <c r="F44" s="11"/>
      <c r="G44" s="70"/>
      <c r="H44" s="37"/>
      <c r="I44" s="37"/>
      <c r="J44" s="37"/>
      <c r="K44" s="37"/>
      <c r="L44" s="37"/>
      <c r="M44" s="37"/>
      <c r="N44" s="37"/>
      <c r="O44" s="37"/>
      <c r="P44" s="37"/>
      <c r="Q44" s="37"/>
      <c r="R44" s="37"/>
      <c r="S44" s="37"/>
      <c r="T44" s="37"/>
      <c r="U44" s="41"/>
      <c r="V44" s="41"/>
      <c r="W44" s="41"/>
      <c r="X44" s="41"/>
      <c r="Y44" s="41"/>
      <c r="Z44" s="41"/>
      <c r="AA44" s="41"/>
      <c r="AB44" s="41"/>
      <c r="AC44" s="41"/>
      <c r="AD44" s="41"/>
      <c r="AE44" s="67"/>
      <c r="AF44" s="42"/>
      <c r="AG44" s="41"/>
      <c r="AH44" s="41"/>
      <c r="AI44" s="41"/>
      <c r="AJ44" s="4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I44" s="53" t="str">
        <f>IF(CJ43&gt;CJ42*1.2,"Channel Length Can Be Increased",IF(CJ43&gt;CJ42,"Channel Length Is OK","Insufficient Capacity, Decrease Channel Length"))</f>
        <v>Insufficient Capacity, Decrease Channel Length</v>
      </c>
      <c r="CM44" s="29">
        <v>275</v>
      </c>
      <c r="CN44" s="29">
        <v>0.27500000000000002</v>
      </c>
      <c r="CO44" s="29">
        <f t="shared" si="31"/>
        <v>0.11525000000000001</v>
      </c>
      <c r="EG44" s="29"/>
      <c r="EH44" s="29">
        <v>30</v>
      </c>
      <c r="EI44" s="29">
        <v>76.3</v>
      </c>
      <c r="EJ44" s="29">
        <v>57.3</v>
      </c>
      <c r="EK44" s="29">
        <v>47</v>
      </c>
      <c r="EL44" s="29">
        <v>32.299999999999997</v>
      </c>
      <c r="EM44" s="29">
        <v>25.4</v>
      </c>
      <c r="EN44" s="29">
        <v>21.3</v>
      </c>
      <c r="EO44" s="29">
        <v>13.7</v>
      </c>
      <c r="EP44" s="29">
        <v>8.6</v>
      </c>
      <c r="EQ44" s="29">
        <v>5</v>
      </c>
      <c r="EW44" s="29">
        <f t="shared" si="10"/>
        <v>4.4794310958126207E-2</v>
      </c>
      <c r="EX44" s="29">
        <f t="shared" si="11"/>
        <v>3.8486454906159567E-2</v>
      </c>
      <c r="FF44" s="29">
        <v>40</v>
      </c>
      <c r="FG44" s="29">
        <f t="shared" si="0"/>
        <v>2.5132741228718345</v>
      </c>
      <c r="FH44" s="29">
        <f>($P$20/2000)*SIN(FG44)+($P$20/2000)</f>
        <v>0.39694631307311834</v>
      </c>
      <c r="FI44" s="29">
        <f>($P$20/2000)*COS(FG44)+$P$20/2000</f>
        <v>4.7745751406263165E-2</v>
      </c>
      <c r="FL44" s="29">
        <f>IF($P$19="Hexagon",EU44,IF(OR($P$19="Kerbdrain150",$P$19="Kerbdrain280"),FA44,IF(OR($P$19="Channel100",$P$19="Channel150",$P$19="Channel200",$P$19="Channel430"),EW44,IF(AND($P$19="Oval",$CJ$11=0.15),FH44,IF(AND($P$19="Oval",$CJ$11=0.225),FH44,IF(AND($P$19="Oval",$CJ$11=0.35),FH44,IF(AND($P$19="Oval",$CJ$11=0.55),FH44,IF(AND($P$19="Oval",$CJ$11=0.7),FD44,IF(AND($P$19="Oval",$CJ$11=0.9),FD44,"")))))))))</f>
        <v>0</v>
      </c>
      <c r="FM44" s="29">
        <f>IF($P$19="Hexagon",EV44,IF(OR($P$19="Kerbdrain150",$P$19="Kerbdrain280"),FB44,IF(OR($P$19="Channel100",$P$19="Channel150",$P$19="Channel200",$P$19="Channel430"),EX44,IF(AND($P$19="Oval",$CJ$11=0.15),FI44,IF(AND($P$19="Oval",$CJ$11=0.225),FI44,IF(AND($P$19="Oval",$CJ$11=0.35),FI44,IF(AND($P$19="Oval",$CJ$11=0.55),FI44,IF(AND($P$19="Oval",$CJ$11=0.7),FE44,IF(AND($P$19="Oval",$CJ$11=0.9),FE44,"")))))))))</f>
        <v>0</v>
      </c>
      <c r="FP44" s="29">
        <f>IF(MAX(FL$5:FM$104)&lt;0.5,FL44*2,FL44)</f>
        <v>0</v>
      </c>
      <c r="FQ44" s="29">
        <f>IF(MAX(FL$5:FM$104)&lt;0.5,FM44*2,FM44)</f>
        <v>0</v>
      </c>
      <c r="FT44" s="29">
        <f>IF(AND(FP44=0,FQ44=0),FT43,FP44+(0.5*(1-MAX(FP$5:FP$104))))</f>
        <v>0.5</v>
      </c>
      <c r="FU44" s="29">
        <f>IF(AND(FP44=0,FQ44=0),FU43,FQ44+(0.5*(1-MAX(FQ$5:FQ$104))))</f>
        <v>0.21600000000000003</v>
      </c>
      <c r="GB44" s="51">
        <f t="shared" si="16"/>
        <v>4.4794310958126207E-2</v>
      </c>
      <c r="GC44" s="51">
        <f t="shared" si="17"/>
        <v>3.8486454906159567E-2</v>
      </c>
      <c r="GK44" s="51">
        <v>40</v>
      </c>
      <c r="GL44" s="51">
        <f t="shared" si="5"/>
        <v>2.5132741228718345</v>
      </c>
      <c r="GM44" s="51">
        <f>($M$66/2000)*SIN(GL44)+($M$66/2000)</f>
        <v>0.39694631307311834</v>
      </c>
      <c r="GN44" s="51">
        <f>($M$66/2000)*COS(GL44)+$M$66/2000</f>
        <v>4.7745751406263165E-2</v>
      </c>
      <c r="GQ44" s="51">
        <f>IF($M$65="Hexagon",FZ44,IF(OR($M$65="Kerbdrain150",$M$65="Kerbdrain280"),GF44,IF(OR($M$65="Channel100",$M$65="Channel150",$M$65="Channel200",$M$65="Channel430"),GB44,IF(AND($M$65="Oval",$CL$11=0.15),GM44,IF(AND($M$65="Oval",$CL$11=0.225),GM44,IF(AND($M$65="Oval",$CL$11=0.35),GM44,IF(AND($M$65="Oval",$CL$11=0.55),GM44,IF(AND($M$65="Oval",$CL$11=0.7),GI44,IF(AND($M$65="Oval",$CL$11=0.9),GI44,"")))))))))</f>
        <v>0</v>
      </c>
      <c r="GR44" s="51">
        <f>IF($M$65="Hexagon",GA44,IF(OR($M$65="Kerbdrain150",$M$65="Kerbdrain280"),GG44,IF(OR($M$65="Channel100",$M$65="Channel150",$M$65="Channel200",$M$65="Channel430"),GC44,IF(AND($M$65="Oval",$CL$11=0.15),GN44,IF(AND($M$65="Oval",$CL$11=0.225),GN44,IF(AND($M$65="Oval",$CL$11=0.35),GN44,IF(AND($M$65="Oval",$CL$11=0.55),GN44,IF(AND($M$65="Oval",$CL$11=0.7),GJ44,IF(AND($M$65="Oval",$CL$11=0.9),GJ44,"")))))))))</f>
        <v>0</v>
      </c>
      <c r="GU44" s="51">
        <f>IF(MAX(GQ$5:GR$104)&lt;0.5,GQ44*2,GQ44)</f>
        <v>0</v>
      </c>
      <c r="GV44" s="51">
        <f>IF(MAX(GQ$5:GR$104)&lt;0.5,GR44*2,GR44)</f>
        <v>0</v>
      </c>
      <c r="GY44" s="51">
        <f>IF(AND(GU44=0,GV44=0),GY43,GU44+(0.5*(1-MAX(GU$5:GU$104))))</f>
        <v>0.5</v>
      </c>
      <c r="GZ44" s="51">
        <f>IF(AND(GU44=0,GV44=0),GZ43,GV44+(0.5*(1-MAX(GV$5:GV$104))))</f>
        <v>0.21600000000000003</v>
      </c>
    </row>
    <row r="45" spans="2:208">
      <c r="B45" s="9"/>
      <c r="C45" s="10"/>
      <c r="D45" s="10"/>
      <c r="E45" s="10"/>
      <c r="F45" s="11"/>
      <c r="G45" s="70"/>
      <c r="H45" s="37"/>
      <c r="I45" s="37"/>
      <c r="J45" s="37"/>
      <c r="K45" s="37"/>
      <c r="L45" s="37"/>
      <c r="M45" s="37"/>
      <c r="N45" s="37"/>
      <c r="O45" s="37"/>
      <c r="P45" s="37"/>
      <c r="Q45" s="37"/>
      <c r="R45" s="37"/>
      <c r="S45" s="37"/>
      <c r="T45" s="37"/>
      <c r="U45" s="41"/>
      <c r="V45" s="41"/>
      <c r="W45" s="41"/>
      <c r="X45" s="41"/>
      <c r="Y45" s="41"/>
      <c r="Z45" s="41"/>
      <c r="AA45" s="41"/>
      <c r="AB45" s="41"/>
      <c r="AC45" s="41"/>
      <c r="AD45" s="41"/>
      <c r="AE45" s="67"/>
      <c r="AF45" s="42"/>
      <c r="AG45" s="41"/>
      <c r="AH45" s="41"/>
      <c r="AI45" s="41"/>
      <c r="AJ45" s="4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M45" s="29">
        <v>555</v>
      </c>
      <c r="CN45" s="29">
        <v>0.55500000000000005</v>
      </c>
      <c r="CO45" s="29">
        <f t="shared" si="31"/>
        <v>0.23565000000000003</v>
      </c>
      <c r="EG45" s="29"/>
      <c r="EH45" s="29">
        <v>50</v>
      </c>
      <c r="EI45" s="29">
        <v>83.8</v>
      </c>
      <c r="EJ45" s="29">
        <v>63.2</v>
      </c>
      <c r="EK45" s="29">
        <v>52.1</v>
      </c>
      <c r="EL45" s="29">
        <v>36</v>
      </c>
      <c r="EM45" s="29">
        <v>28.3</v>
      </c>
      <c r="EN45" s="29">
        <v>23.8</v>
      </c>
      <c r="EO45" s="29">
        <v>15.3</v>
      </c>
      <c r="EP45" s="29">
        <v>9.6999999999999993</v>
      </c>
      <c r="EQ45" s="29">
        <v>6</v>
      </c>
      <c r="EW45" s="29">
        <f t="shared" si="10"/>
        <v>3.8486454906159595E-2</v>
      </c>
      <c r="EX45" s="29">
        <f t="shared" si="11"/>
        <v>4.4794310958126179E-2</v>
      </c>
      <c r="FF45" s="29">
        <v>41</v>
      </c>
      <c r="FG45" s="29">
        <f t="shared" si="0"/>
        <v>2.57610597594363</v>
      </c>
      <c r="FH45" s="29">
        <f>($P$20/2000)*SIN(FG45)+($P$20/2000)</f>
        <v>0.38395669874474925</v>
      </c>
      <c r="FI45" s="29">
        <f>($P$20/2000)*COS(FG45)+$P$20/2000</f>
        <v>3.8918018624496287E-2</v>
      </c>
      <c r="FL45" s="29">
        <f>IF($P$19="Hexagon",EU45,IF(OR($P$19="Kerbdrain150",$P$19="Kerbdrain280"),FA45,IF(OR($P$19="Channel100",$P$19="Channel150",$P$19="Channel200",$P$19="Channel430"),EW45,IF(AND($P$19="Oval",$CJ$11=0.15),FH45,IF(AND($P$19="Oval",$CJ$11=0.225),FH45,IF(AND($P$19="Oval",$CJ$11=0.35),FH45,IF(AND($P$19="Oval",$CJ$11=0.55),FH45,IF(AND($P$19="Oval",$CJ$11=0.7),FD45,IF(AND($P$19="Oval",$CJ$11=0.9),FD45,"")))))))))</f>
        <v>0</v>
      </c>
      <c r="FM45" s="29">
        <f>IF($P$19="Hexagon",EV45,IF(OR($P$19="Kerbdrain150",$P$19="Kerbdrain280"),FB45,IF(OR($P$19="Channel100",$P$19="Channel150",$P$19="Channel200",$P$19="Channel430"),EX45,IF(AND($P$19="Oval",$CJ$11=0.15),FI45,IF(AND($P$19="Oval",$CJ$11=0.225),FI45,IF(AND($P$19="Oval",$CJ$11=0.35),FI45,IF(AND($P$19="Oval",$CJ$11=0.55),FI45,IF(AND($P$19="Oval",$CJ$11=0.7),FE45,IF(AND($P$19="Oval",$CJ$11=0.9),FE45,"")))))))))</f>
        <v>0</v>
      </c>
      <c r="FP45" s="29">
        <f>IF(MAX(FL$5:FM$104)&lt;0.5,FL45*2,FL45)</f>
        <v>0</v>
      </c>
      <c r="FQ45" s="29">
        <f>IF(MAX(FL$5:FM$104)&lt;0.5,FM45*2,FM45)</f>
        <v>0</v>
      </c>
      <c r="FT45" s="29">
        <f>IF(AND(FP45=0,FQ45=0),FT44,FP45+(0.5*(1-MAX(FP$5:FP$104))))</f>
        <v>0.5</v>
      </c>
      <c r="FU45" s="29">
        <f>IF(AND(FP45=0,FQ45=0),FU44,FQ45+(0.5*(1-MAX(FQ$5:FQ$104))))</f>
        <v>0.21600000000000003</v>
      </c>
      <c r="GB45" s="51">
        <f t="shared" si="16"/>
        <v>3.8486454906159595E-2</v>
      </c>
      <c r="GC45" s="51">
        <f t="shared" si="17"/>
        <v>4.4794310958126179E-2</v>
      </c>
      <c r="GK45" s="51">
        <v>41</v>
      </c>
      <c r="GL45" s="51">
        <f t="shared" si="5"/>
        <v>2.57610597594363</v>
      </c>
      <c r="GM45" s="51">
        <f>($M$66/2000)*SIN(GL45)+($M$66/2000)</f>
        <v>0.38395669874474925</v>
      </c>
      <c r="GN45" s="51">
        <f>($M$66/2000)*COS(GL45)+$M$66/2000</f>
        <v>3.8918018624496287E-2</v>
      </c>
      <c r="GQ45" s="51">
        <f>IF($M$65="Hexagon",FZ45,IF(OR($M$65="Kerbdrain150",$M$65="Kerbdrain280"),GF45,IF(OR($M$65="Channel100",$M$65="Channel150",$M$65="Channel200",$M$65="Channel430"),GB45,IF(AND($M$65="Oval",$CL$11=0.15),GM45,IF(AND($M$65="Oval",$CL$11=0.225),GM45,IF(AND($M$65="Oval",$CL$11=0.35),GM45,IF(AND($M$65="Oval",$CL$11=0.55),GM45,IF(AND($M$65="Oval",$CL$11=0.7),GI45,IF(AND($M$65="Oval",$CL$11=0.9),GI45,"")))))))))</f>
        <v>0</v>
      </c>
      <c r="GR45" s="51">
        <f>IF($M$65="Hexagon",GA45,IF(OR($M$65="Kerbdrain150",$M$65="Kerbdrain280"),GG45,IF(OR($M$65="Channel100",$M$65="Channel150",$M$65="Channel200",$M$65="Channel430"),GC45,IF(AND($M$65="Oval",$CL$11=0.15),GN45,IF(AND($M$65="Oval",$CL$11=0.225),GN45,IF(AND($M$65="Oval",$CL$11=0.35),GN45,IF(AND($M$65="Oval",$CL$11=0.55),GN45,IF(AND($M$65="Oval",$CL$11=0.7),GJ45,IF(AND($M$65="Oval",$CL$11=0.9),GJ45,"")))))))))</f>
        <v>0</v>
      </c>
      <c r="GU45" s="51">
        <f>IF(MAX(GQ$5:GR$104)&lt;0.5,GQ45*2,GQ45)</f>
        <v>0</v>
      </c>
      <c r="GV45" s="51">
        <f>IF(MAX(GQ$5:GR$104)&lt;0.5,GR45*2,GR45)</f>
        <v>0</v>
      </c>
      <c r="GY45" s="51">
        <f>IF(AND(GU45=0,GV45=0),GY44,GU45+(0.5*(1-MAX(GU$5:GU$104))))</f>
        <v>0.5</v>
      </c>
      <c r="GZ45" s="51">
        <f>IF(AND(GU45=0,GV45=0),GZ44,GV45+(0.5*(1-MAX(GV$5:GV$104))))</f>
        <v>0.21600000000000003</v>
      </c>
    </row>
    <row r="46" spans="2:208">
      <c r="B46" s="9"/>
      <c r="C46" s="10"/>
      <c r="D46" s="10"/>
      <c r="E46" s="10"/>
      <c r="F46" s="11"/>
      <c r="G46" s="70"/>
      <c r="H46" s="37"/>
      <c r="I46" s="37"/>
      <c r="J46" s="37"/>
      <c r="K46" s="37"/>
      <c r="L46" s="37"/>
      <c r="M46" s="37"/>
      <c r="N46" s="37"/>
      <c r="O46" s="37"/>
      <c r="P46" s="37"/>
      <c r="Q46" s="37"/>
      <c r="R46" s="37"/>
      <c r="S46" s="37"/>
      <c r="T46" s="37"/>
      <c r="U46" s="41"/>
      <c r="V46" s="41"/>
      <c r="W46" s="41"/>
      <c r="X46" s="41"/>
      <c r="Y46" s="41"/>
      <c r="Z46" s="41"/>
      <c r="AA46" s="41"/>
      <c r="AB46" s="41"/>
      <c r="AC46" s="41"/>
      <c r="AD46" s="41"/>
      <c r="AE46" s="67"/>
      <c r="AF46" s="42"/>
      <c r="AG46" s="41"/>
      <c r="AH46" s="41"/>
      <c r="AI46" s="41"/>
      <c r="AJ46" s="4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I46" s="53" t="s">
        <v>96</v>
      </c>
      <c r="CJ46" s="56">
        <f>IF(HLOOKUP(M$65,CQ$5:CX$11,4,FALSE)&gt;M66,"N/A",HLOOKUP(M$65,CQ$5:CX$11,4,FALSE))</f>
        <v>300</v>
      </c>
      <c r="CK46" s="29" t="s">
        <v>71</v>
      </c>
      <c r="EG46" s="29"/>
      <c r="EH46" s="29">
        <v>100</v>
      </c>
      <c r="EI46" s="29">
        <v>95.3</v>
      </c>
      <c r="EJ46" s="29">
        <v>72.3</v>
      </c>
      <c r="EK46" s="29">
        <v>59.8</v>
      </c>
      <c r="EL46" s="29">
        <v>41.7</v>
      </c>
      <c r="EM46" s="29">
        <v>32.9</v>
      </c>
      <c r="EN46" s="29">
        <v>27.7</v>
      </c>
      <c r="EO46" s="29">
        <v>17.899999999999999</v>
      </c>
      <c r="EP46" s="29">
        <v>11.3</v>
      </c>
      <c r="EQ46" s="29">
        <v>7</v>
      </c>
      <c r="EW46" s="29">
        <f t="shared" si="10"/>
        <v>3.2587119525837913E-2</v>
      </c>
      <c r="EX46" s="29">
        <f t="shared" si="11"/>
        <v>5.1485793455686088E-2</v>
      </c>
      <c r="FF46" s="29">
        <v>42</v>
      </c>
      <c r="FG46" s="29">
        <f t="shared" si="0"/>
        <v>2.638937829015426</v>
      </c>
      <c r="FH46" s="29">
        <f>($P$20/2000)*SIN(FG46)+($P$20/2000)</f>
        <v>0.37043841852542891</v>
      </c>
      <c r="FI46" s="29">
        <f>($P$20/2000)*COS(FG46)+$P$20/2000</f>
        <v>3.092332998903416E-2</v>
      </c>
      <c r="FL46" s="29">
        <f>IF($P$19="Hexagon",EU46,IF(OR($P$19="Kerbdrain150",$P$19="Kerbdrain280"),FA46,IF(OR($P$19="Channel100",$P$19="Channel150",$P$19="Channel200",$P$19="Channel430"),EW46,IF(AND($P$19="Oval",$CJ$11=0.15),FH46,IF(AND($P$19="Oval",$CJ$11=0.225),FH46,IF(AND($P$19="Oval",$CJ$11=0.35),FH46,IF(AND($P$19="Oval",$CJ$11=0.55),FH46,IF(AND($P$19="Oval",$CJ$11=0.7),FD46,IF(AND($P$19="Oval",$CJ$11=0.9),FD46,"")))))))))</f>
        <v>0</v>
      </c>
      <c r="FM46" s="29">
        <f>IF($P$19="Hexagon",EV46,IF(OR($P$19="Kerbdrain150",$P$19="Kerbdrain280"),FB46,IF(OR($P$19="Channel100",$P$19="Channel150",$P$19="Channel200",$P$19="Channel430"),EX46,IF(AND($P$19="Oval",$CJ$11=0.15),FI46,IF(AND($P$19="Oval",$CJ$11=0.225),FI46,IF(AND($P$19="Oval",$CJ$11=0.35),FI46,IF(AND($P$19="Oval",$CJ$11=0.55),FI46,IF(AND($P$19="Oval",$CJ$11=0.7),FE46,IF(AND($P$19="Oval",$CJ$11=0.9),FE46,"")))))))))</f>
        <v>0</v>
      </c>
      <c r="FP46" s="29">
        <f>IF(MAX(FL$5:FM$104)&lt;0.5,FL46*2,FL46)</f>
        <v>0</v>
      </c>
      <c r="FQ46" s="29">
        <f>IF(MAX(FL$5:FM$104)&lt;0.5,FM46*2,FM46)</f>
        <v>0</v>
      </c>
      <c r="FT46" s="29">
        <f>IF(AND(FP46=0,FQ46=0),FT45,FP46+(0.5*(1-MAX(FP$5:FP$104))))</f>
        <v>0.5</v>
      </c>
      <c r="FU46" s="29">
        <f>IF(AND(FP46=0,FQ46=0),FU45,FQ46+(0.5*(1-MAX(FQ$5:FQ$104))))</f>
        <v>0.21600000000000003</v>
      </c>
      <c r="GB46" s="51">
        <f t="shared" si="16"/>
        <v>3.2587119525837913E-2</v>
      </c>
      <c r="GC46" s="51">
        <f t="shared" si="17"/>
        <v>5.1485793455686088E-2</v>
      </c>
      <c r="GK46" s="51">
        <v>42</v>
      </c>
      <c r="GL46" s="51">
        <f t="shared" si="5"/>
        <v>2.638937829015426</v>
      </c>
      <c r="GM46" s="51">
        <f>($M$66/2000)*SIN(GL46)+($M$66/2000)</f>
        <v>0.37043841852542891</v>
      </c>
      <c r="GN46" s="51">
        <f>($M$66/2000)*COS(GL46)+$M$66/2000</f>
        <v>3.092332998903416E-2</v>
      </c>
      <c r="GQ46" s="51">
        <f>IF($M$65="Hexagon",FZ46,IF(OR($M$65="Kerbdrain150",$M$65="Kerbdrain280"),GF46,IF(OR($M$65="Channel100",$M$65="Channel150",$M$65="Channel200",$M$65="Channel430"),GB46,IF(AND($M$65="Oval",$CL$11=0.15),GM46,IF(AND($M$65="Oval",$CL$11=0.225),GM46,IF(AND($M$65="Oval",$CL$11=0.35),GM46,IF(AND($M$65="Oval",$CL$11=0.55),GM46,IF(AND($M$65="Oval",$CL$11=0.7),GI46,IF(AND($M$65="Oval",$CL$11=0.9),GI46,"")))))))))</f>
        <v>0</v>
      </c>
      <c r="GR46" s="51">
        <f>IF($M$65="Hexagon",GA46,IF(OR($M$65="Kerbdrain150",$M$65="Kerbdrain280"),GG46,IF(OR($M$65="Channel100",$M$65="Channel150",$M$65="Channel200",$M$65="Channel430"),GC46,IF(AND($M$65="Oval",$CL$11=0.15),GN46,IF(AND($M$65="Oval",$CL$11=0.225),GN46,IF(AND($M$65="Oval",$CL$11=0.35),GN46,IF(AND($M$65="Oval",$CL$11=0.55),GN46,IF(AND($M$65="Oval",$CL$11=0.7),GJ46,IF(AND($M$65="Oval",$CL$11=0.9),GJ46,"")))))))))</f>
        <v>0</v>
      </c>
      <c r="GU46" s="51">
        <f>IF(MAX(GQ$5:GR$104)&lt;0.5,GQ46*2,GQ46)</f>
        <v>0</v>
      </c>
      <c r="GV46" s="51">
        <f>IF(MAX(GQ$5:GR$104)&lt;0.5,GR46*2,GR46)</f>
        <v>0</v>
      </c>
      <c r="GY46" s="51">
        <f>IF(AND(GU46=0,GV46=0),GY45,GU46+(0.5*(1-MAX(GU$5:GU$104))))</f>
        <v>0.5</v>
      </c>
      <c r="GZ46" s="51">
        <f>IF(AND(GU46=0,GV46=0),GZ45,GV46+(0.5*(1-MAX(GV$5:GV$104))))</f>
        <v>0.21600000000000003</v>
      </c>
    </row>
    <row r="47" spans="2:208">
      <c r="B47" s="9"/>
      <c r="C47" s="10"/>
      <c r="D47" s="10"/>
      <c r="E47" s="10"/>
      <c r="F47" s="11"/>
      <c r="G47" s="70"/>
      <c r="H47" s="37"/>
      <c r="I47" s="37"/>
      <c r="J47" s="37"/>
      <c r="K47" s="37"/>
      <c r="L47" s="37"/>
      <c r="M47" s="37"/>
      <c r="N47" s="37"/>
      <c r="O47" s="37"/>
      <c r="P47" s="37"/>
      <c r="Q47" s="37"/>
      <c r="R47" s="37"/>
      <c r="S47" s="37"/>
      <c r="T47" s="37"/>
      <c r="U47" s="41"/>
      <c r="V47" s="41"/>
      <c r="W47" s="41"/>
      <c r="X47" s="41"/>
      <c r="Y47" s="41"/>
      <c r="Z47" s="41"/>
      <c r="AA47" s="41"/>
      <c r="AB47" s="41"/>
      <c r="AC47" s="41"/>
      <c r="AD47" s="41"/>
      <c r="AE47" s="67"/>
      <c r="AF47" s="42"/>
      <c r="AG47" s="41"/>
      <c r="AH47" s="41"/>
      <c r="AI47" s="41"/>
      <c r="AJ47" s="4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29" t="s">
        <v>73</v>
      </c>
      <c r="CI47" s="53" t="s">
        <v>74</v>
      </c>
      <c r="CJ47" s="56">
        <f>IF(CJ46="N/A","N/A",HLOOKUP(M$65,CQ$13:CX$19,4,FALSE))</f>
        <v>0.33800000000000002</v>
      </c>
      <c r="CK47" s="29" t="s">
        <v>1</v>
      </c>
      <c r="CM47" s="29" t="s">
        <v>97</v>
      </c>
      <c r="EG47" s="29"/>
      <c r="EH47" s="29">
        <v>500</v>
      </c>
      <c r="EI47" s="29">
        <v>128.19999999999999</v>
      </c>
      <c r="EJ47" s="29">
        <v>98.7</v>
      </c>
      <c r="EK47" s="29">
        <v>82.5</v>
      </c>
      <c r="EL47" s="29">
        <v>58.6</v>
      </c>
      <c r="EM47" s="29">
        <v>46.7</v>
      </c>
      <c r="EN47" s="29">
        <v>39.4</v>
      </c>
      <c r="EO47" s="29">
        <v>25.8</v>
      </c>
      <c r="EP47" s="29">
        <v>16.399999999999999</v>
      </c>
      <c r="EQ47" s="29">
        <v>10</v>
      </c>
      <c r="EW47" s="29">
        <f t="shared" si="10"/>
        <v>2.7119586798757478E-2</v>
      </c>
      <c r="EX47" s="29">
        <f t="shared" si="11"/>
        <v>5.8534494174468807E-2</v>
      </c>
      <c r="FF47" s="29">
        <v>43</v>
      </c>
      <c r="FG47" s="29">
        <f t="shared" si="0"/>
        <v>2.7017696820872219</v>
      </c>
      <c r="FH47" s="29">
        <f>($P$20/2000)*SIN(FG47)+($P$20/2000)</f>
        <v>0.35644482289126822</v>
      </c>
      <c r="FI47" s="29">
        <f>($P$20/2000)*COS(FG47)+$P$20/2000</f>
        <v>2.3793236883495161E-2</v>
      </c>
      <c r="FL47" s="29">
        <f>IF($P$19="Hexagon",EU47,IF(OR($P$19="Kerbdrain150",$P$19="Kerbdrain280"),FA47,IF(OR($P$19="Channel100",$P$19="Channel150",$P$19="Channel200",$P$19="Channel430"),EW47,IF(AND($P$19="Oval",$CJ$11=0.15),FH47,IF(AND($P$19="Oval",$CJ$11=0.225),FH47,IF(AND($P$19="Oval",$CJ$11=0.35),FH47,IF(AND($P$19="Oval",$CJ$11=0.55),FH47,IF(AND($P$19="Oval",$CJ$11=0.7),FD47,IF(AND($P$19="Oval",$CJ$11=0.9),FD47,"")))))))))</f>
        <v>0</v>
      </c>
      <c r="FM47" s="29">
        <f>IF($P$19="Hexagon",EV47,IF(OR($P$19="Kerbdrain150",$P$19="Kerbdrain280"),FB47,IF(OR($P$19="Channel100",$P$19="Channel150",$P$19="Channel200",$P$19="Channel430"),EX47,IF(AND($P$19="Oval",$CJ$11=0.15),FI47,IF(AND($P$19="Oval",$CJ$11=0.225),FI47,IF(AND($P$19="Oval",$CJ$11=0.35),FI47,IF(AND($P$19="Oval",$CJ$11=0.55),FI47,IF(AND($P$19="Oval",$CJ$11=0.7),FE47,IF(AND($P$19="Oval",$CJ$11=0.9),FE47,"")))))))))</f>
        <v>0</v>
      </c>
      <c r="FP47" s="29">
        <f>IF(MAX(FL$5:FM$104)&lt;0.5,FL47*2,FL47)</f>
        <v>0</v>
      </c>
      <c r="FQ47" s="29">
        <f>IF(MAX(FL$5:FM$104)&lt;0.5,FM47*2,FM47)</f>
        <v>0</v>
      </c>
      <c r="FT47" s="29">
        <f>IF(AND(FP47=0,FQ47=0),FT46,FP47+(0.5*(1-MAX(FP$5:FP$104))))</f>
        <v>0.5</v>
      </c>
      <c r="FU47" s="29">
        <f>IF(AND(FP47=0,FQ47=0),FU46,FQ47+(0.5*(1-MAX(FQ$5:FQ$104))))</f>
        <v>0.21600000000000003</v>
      </c>
      <c r="GB47" s="51">
        <f t="shared" si="16"/>
        <v>2.7119586798757478E-2</v>
      </c>
      <c r="GC47" s="51">
        <f t="shared" si="17"/>
        <v>5.8534494174468807E-2</v>
      </c>
      <c r="GK47" s="51">
        <v>43</v>
      </c>
      <c r="GL47" s="51">
        <f t="shared" si="5"/>
        <v>2.7017696820872219</v>
      </c>
      <c r="GM47" s="51">
        <f>($M$66/2000)*SIN(GL47)+($M$66/2000)</f>
        <v>0.35644482289126822</v>
      </c>
      <c r="GN47" s="51">
        <f>($M$66/2000)*COS(GL47)+$M$66/2000</f>
        <v>2.3793236883495161E-2</v>
      </c>
      <c r="GQ47" s="51">
        <f>IF($M$65="Hexagon",FZ47,IF(OR($M$65="Kerbdrain150",$M$65="Kerbdrain280"),GF47,IF(OR($M$65="Channel100",$M$65="Channel150",$M$65="Channel200",$M$65="Channel430"),GB47,IF(AND($M$65="Oval",$CL$11=0.15),GM47,IF(AND($M$65="Oval",$CL$11=0.225),GM47,IF(AND($M$65="Oval",$CL$11=0.35),GM47,IF(AND($M$65="Oval",$CL$11=0.55),GM47,IF(AND($M$65="Oval",$CL$11=0.7),GI47,IF(AND($M$65="Oval",$CL$11=0.9),GI47,"")))))))))</f>
        <v>0</v>
      </c>
      <c r="GR47" s="51">
        <f>IF($M$65="Hexagon",GA47,IF(OR($M$65="Kerbdrain150",$M$65="Kerbdrain280"),GG47,IF(OR($M$65="Channel100",$M$65="Channel150",$M$65="Channel200",$M$65="Channel430"),GC47,IF(AND($M$65="Oval",$CL$11=0.15),GN47,IF(AND($M$65="Oval",$CL$11=0.225),GN47,IF(AND($M$65="Oval",$CL$11=0.35),GN47,IF(AND($M$65="Oval",$CL$11=0.55),GN47,IF(AND($M$65="Oval",$CL$11=0.7),GJ47,IF(AND($M$65="Oval",$CL$11=0.9),GJ47,"")))))))))</f>
        <v>0</v>
      </c>
      <c r="GU47" s="51">
        <f>IF(MAX(GQ$5:GR$104)&lt;0.5,GQ47*2,GQ47)</f>
        <v>0</v>
      </c>
      <c r="GV47" s="51">
        <f>IF(MAX(GQ$5:GR$104)&lt;0.5,GR47*2,GR47)</f>
        <v>0</v>
      </c>
      <c r="GY47" s="51">
        <f>IF(AND(GU47=0,GV47=0),GY46,GU47+(0.5*(1-MAX(GU$5:GU$104))))</f>
        <v>0.5</v>
      </c>
      <c r="GZ47" s="51">
        <f>IF(AND(GU47=0,GV47=0),GZ46,GV47+(0.5*(1-MAX(GV$5:GV$104))))</f>
        <v>0.21600000000000003</v>
      </c>
    </row>
    <row r="48" spans="2:208">
      <c r="B48" s="9"/>
      <c r="C48" s="10"/>
      <c r="D48" s="10"/>
      <c r="E48" s="10"/>
      <c r="F48" s="11"/>
      <c r="G48" s="70"/>
      <c r="H48" s="37"/>
      <c r="I48" s="37"/>
      <c r="J48" s="37"/>
      <c r="K48" s="37"/>
      <c r="L48" s="37"/>
      <c r="M48" s="37"/>
      <c r="N48" s="37"/>
      <c r="O48" s="37"/>
      <c r="P48" s="37"/>
      <c r="Q48" s="37"/>
      <c r="R48" s="37"/>
      <c r="S48" s="37"/>
      <c r="T48" s="37"/>
      <c r="U48" s="41"/>
      <c r="V48" s="41"/>
      <c r="W48" s="41"/>
      <c r="X48" s="41"/>
      <c r="Y48" s="41"/>
      <c r="Z48" s="41"/>
      <c r="AA48" s="41"/>
      <c r="AB48" s="41"/>
      <c r="AC48" s="41"/>
      <c r="AD48" s="41"/>
      <c r="AE48" s="67"/>
      <c r="AF48" s="42"/>
      <c r="AG48" s="41"/>
      <c r="AH48" s="41"/>
      <c r="AI48" s="41"/>
      <c r="AJ48" s="4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29" t="s">
        <v>20</v>
      </c>
      <c r="CI48" s="53" t="s">
        <v>75</v>
      </c>
      <c r="CJ48" s="56">
        <f>IF(CJ46="N/A","N/A",HLOOKUP(M$65,CQ$21:CX$27,4,FALSE))</f>
        <v>7.7676999999999996E-2</v>
      </c>
      <c r="CK48" s="29" t="s">
        <v>48</v>
      </c>
      <c r="CM48" s="29">
        <v>135</v>
      </c>
      <c r="CN48" s="29">
        <v>0.13500000000000001</v>
      </c>
      <c r="CO48" s="29">
        <f t="shared" ref="CO48:CO51" si="32">CW22</f>
        <v>1.8225000000000002E-2</v>
      </c>
      <c r="EG48" s="29"/>
      <c r="EH48" s="29">
        <v>1000</v>
      </c>
      <c r="EI48" s="29">
        <v>145.69999999999999</v>
      </c>
      <c r="EJ48" s="29">
        <v>112.9</v>
      </c>
      <c r="EK48" s="29">
        <v>94.8</v>
      </c>
      <c r="EL48" s="29">
        <v>67.8</v>
      </c>
      <c r="EM48" s="29">
        <v>54.2</v>
      </c>
      <c r="EN48" s="29">
        <v>45.9</v>
      </c>
      <c r="EO48" s="29">
        <v>30.1</v>
      </c>
      <c r="EP48" s="29">
        <v>19.2</v>
      </c>
      <c r="EQ48" s="29">
        <v>12</v>
      </c>
      <c r="EW48" s="29">
        <f t="shared" si="10"/>
        <v>2.2105434578713834E-2</v>
      </c>
      <c r="EX48" s="29">
        <f t="shared" si="11"/>
        <v>6.591259511298253E-2</v>
      </c>
      <c r="FF48" s="29">
        <v>44</v>
      </c>
      <c r="FG48" s="29">
        <f t="shared" si="0"/>
        <v>2.7646015351590179</v>
      </c>
      <c r="FH48" s="29">
        <f>($P$20/2000)*SIN(FG48)+($P$20/2000)</f>
        <v>0.34203113817116954</v>
      </c>
      <c r="FI48" s="29">
        <f>($P$20/2000)*COS(FG48)+$P$20/2000</f>
        <v>1.7555878527937163E-2</v>
      </c>
      <c r="FL48" s="29">
        <f>IF($P$19="Hexagon",EU48,IF(OR($P$19="Kerbdrain150",$P$19="Kerbdrain280"),FA48,IF(OR($P$19="Channel100",$P$19="Channel150",$P$19="Channel200",$P$19="Channel430"),EW48,IF(AND($P$19="Oval",$CJ$11=0.15),FH48,IF(AND($P$19="Oval",$CJ$11=0.225),FH48,IF(AND($P$19="Oval",$CJ$11=0.35),FH48,IF(AND($P$19="Oval",$CJ$11=0.55),FH48,IF(AND($P$19="Oval",$CJ$11=0.7),FD48,IF(AND($P$19="Oval",$CJ$11=0.9),FD48,"")))))))))</f>
        <v>0</v>
      </c>
      <c r="FM48" s="29">
        <f>IF($P$19="Hexagon",EV48,IF(OR($P$19="Kerbdrain150",$P$19="Kerbdrain280"),FB48,IF(OR($P$19="Channel100",$P$19="Channel150",$P$19="Channel200",$P$19="Channel430"),EX48,IF(AND($P$19="Oval",$CJ$11=0.15),FI48,IF(AND($P$19="Oval",$CJ$11=0.225),FI48,IF(AND($P$19="Oval",$CJ$11=0.35),FI48,IF(AND($P$19="Oval",$CJ$11=0.55),FI48,IF(AND($P$19="Oval",$CJ$11=0.7),FE48,IF(AND($P$19="Oval",$CJ$11=0.9),FE48,"")))))))))</f>
        <v>0</v>
      </c>
      <c r="FP48" s="29">
        <f>IF(MAX(FL$5:FM$104)&lt;0.5,FL48*2,FL48)</f>
        <v>0</v>
      </c>
      <c r="FQ48" s="29">
        <f>IF(MAX(FL$5:FM$104)&lt;0.5,FM48*2,FM48)</f>
        <v>0</v>
      </c>
      <c r="FT48" s="29">
        <f>IF(AND(FP48=0,FQ48=0),FT47,FP48+(0.5*(1-MAX(FP$5:FP$104))))</f>
        <v>0.5</v>
      </c>
      <c r="FU48" s="29">
        <f>IF(AND(FP48=0,FQ48=0),FU47,FQ48+(0.5*(1-MAX(FQ$5:FQ$104))))</f>
        <v>0.21600000000000003</v>
      </c>
      <c r="GB48" s="51">
        <f t="shared" si="16"/>
        <v>2.2105434578713834E-2</v>
      </c>
      <c r="GC48" s="51">
        <f t="shared" si="17"/>
        <v>6.591259511298253E-2</v>
      </c>
      <c r="GK48" s="51">
        <v>44</v>
      </c>
      <c r="GL48" s="51">
        <f t="shared" si="5"/>
        <v>2.7646015351590179</v>
      </c>
      <c r="GM48" s="51">
        <f>($M$66/2000)*SIN(GL48)+($M$66/2000)</f>
        <v>0.34203113817116954</v>
      </c>
      <c r="GN48" s="51">
        <f>($M$66/2000)*COS(GL48)+$M$66/2000</f>
        <v>1.7555878527937163E-2</v>
      </c>
      <c r="GQ48" s="51">
        <f>IF($M$65="Hexagon",FZ48,IF(OR($M$65="Kerbdrain150",$M$65="Kerbdrain280"),GF48,IF(OR($M$65="Channel100",$M$65="Channel150",$M$65="Channel200",$M$65="Channel430"),GB48,IF(AND($M$65="Oval",$CL$11=0.15),GM48,IF(AND($M$65="Oval",$CL$11=0.225),GM48,IF(AND($M$65="Oval",$CL$11=0.35),GM48,IF(AND($M$65="Oval",$CL$11=0.55),GM48,IF(AND($M$65="Oval",$CL$11=0.7),GI48,IF(AND($M$65="Oval",$CL$11=0.9),GI48,"")))))))))</f>
        <v>0</v>
      </c>
      <c r="GR48" s="51">
        <f>IF($M$65="Hexagon",GA48,IF(OR($M$65="Kerbdrain150",$M$65="Kerbdrain280"),GG48,IF(OR($M$65="Channel100",$M$65="Channel150",$M$65="Channel200",$M$65="Channel430"),GC48,IF(AND($M$65="Oval",$CL$11=0.15),GN48,IF(AND($M$65="Oval",$CL$11=0.225),GN48,IF(AND($M$65="Oval",$CL$11=0.35),GN48,IF(AND($M$65="Oval",$CL$11=0.55),GN48,IF(AND($M$65="Oval",$CL$11=0.7),GJ48,IF(AND($M$65="Oval",$CL$11=0.9),GJ48,"")))))))))</f>
        <v>0</v>
      </c>
      <c r="GU48" s="51">
        <f>IF(MAX(GQ$5:GR$104)&lt;0.5,GQ48*2,GQ48)</f>
        <v>0</v>
      </c>
      <c r="GV48" s="51">
        <f>IF(MAX(GQ$5:GR$104)&lt;0.5,GR48*2,GR48)</f>
        <v>0</v>
      </c>
      <c r="GY48" s="51">
        <f>IF(AND(GU48=0,GV48=0),GY47,GU48+(0.5*(1-MAX(GU$5:GU$104))))</f>
        <v>0.5</v>
      </c>
      <c r="GZ48" s="51">
        <f>IF(AND(GU48=0,GV48=0),GZ47,GV48+(0.5*(1-MAX(GV$5:GV$104))))</f>
        <v>0.21600000000000003</v>
      </c>
    </row>
    <row r="49" spans="2:208">
      <c r="B49" s="9"/>
      <c r="C49" s="10"/>
      <c r="D49" s="10"/>
      <c r="E49" s="10"/>
      <c r="F49" s="11"/>
      <c r="G49" s="70"/>
      <c r="H49" s="37"/>
      <c r="I49" s="37"/>
      <c r="J49" s="37"/>
      <c r="K49" s="37"/>
      <c r="L49" s="37"/>
      <c r="M49" s="37"/>
      <c r="N49" s="37"/>
      <c r="O49" s="37"/>
      <c r="P49" s="37"/>
      <c r="Q49" s="37"/>
      <c r="R49" s="37"/>
      <c r="S49" s="37"/>
      <c r="T49" s="37"/>
      <c r="U49" s="41"/>
      <c r="V49" s="41"/>
      <c r="W49" s="41"/>
      <c r="X49" s="41"/>
      <c r="Y49" s="41"/>
      <c r="Z49" s="41"/>
      <c r="AA49" s="41"/>
      <c r="AB49" s="41"/>
      <c r="AC49" s="41"/>
      <c r="AD49" s="41"/>
      <c r="AE49" s="67"/>
      <c r="AF49" s="42"/>
      <c r="AG49" s="41"/>
      <c r="AH49" s="41"/>
      <c r="AI49" s="41"/>
      <c r="AJ49" s="4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I49" s="53" t="s">
        <v>19</v>
      </c>
      <c r="CJ49" s="49">
        <v>17</v>
      </c>
      <c r="CM49" s="29">
        <v>185</v>
      </c>
      <c r="CN49" s="29">
        <v>0.185</v>
      </c>
      <c r="CO49" s="29">
        <f t="shared" si="32"/>
        <v>2.4975000000000001E-2</v>
      </c>
      <c r="EW49" s="29">
        <f t="shared" si="10"/>
        <v>1.7564451433771375E-2</v>
      </c>
      <c r="EX49" s="29">
        <f t="shared" si="11"/>
        <v>7.3590978277556438E-2</v>
      </c>
      <c r="FF49" s="29">
        <v>45</v>
      </c>
      <c r="FG49" s="29">
        <f t="shared" si="0"/>
        <v>2.8274333882308138</v>
      </c>
      <c r="FH49" s="29">
        <f>($P$20/2000)*SIN(FG49)+($P$20/2000)</f>
        <v>0.32725424859373686</v>
      </c>
      <c r="FI49" s="29">
        <f>($P$20/2000)*COS(FG49)+$P$20/2000</f>
        <v>1.2235870926211617E-2</v>
      </c>
      <c r="FL49" s="29">
        <f>IF($P$19="Hexagon",EU49,IF(OR($P$19="Kerbdrain150",$P$19="Kerbdrain280"),FA49,IF(OR($P$19="Channel100",$P$19="Channel150",$P$19="Channel200",$P$19="Channel430"),EW49,IF(AND($P$19="Oval",$CJ$11=0.15),FH49,IF(AND($P$19="Oval",$CJ$11=0.225),FH49,IF(AND($P$19="Oval",$CJ$11=0.35),FH49,IF(AND($P$19="Oval",$CJ$11=0.55),FH49,IF(AND($P$19="Oval",$CJ$11=0.7),FD49,IF(AND($P$19="Oval",$CJ$11=0.9),FD49,"")))))))))</f>
        <v>0</v>
      </c>
      <c r="FM49" s="29">
        <f>IF($P$19="Hexagon",EV49,IF(OR($P$19="Kerbdrain150",$P$19="Kerbdrain280"),FB49,IF(OR($P$19="Channel100",$P$19="Channel150",$P$19="Channel200",$P$19="Channel430"),EX49,IF(AND($P$19="Oval",$CJ$11=0.15),FI49,IF(AND($P$19="Oval",$CJ$11=0.225),FI49,IF(AND($P$19="Oval",$CJ$11=0.35),FI49,IF(AND($P$19="Oval",$CJ$11=0.55),FI49,IF(AND($P$19="Oval",$CJ$11=0.7),FE49,IF(AND($P$19="Oval",$CJ$11=0.9),FE49,"")))))))))</f>
        <v>0</v>
      </c>
      <c r="FP49" s="29">
        <f>IF(MAX(FL$5:FM$104)&lt;0.5,FL49*2,FL49)</f>
        <v>0</v>
      </c>
      <c r="FQ49" s="29">
        <f>IF(MAX(FL$5:FM$104)&lt;0.5,FM49*2,FM49)</f>
        <v>0</v>
      </c>
      <c r="FT49" s="29">
        <f>IF(AND(FP49=0,FQ49=0),FT48,FP49+(0.5*(1-MAX(FP$5:FP$104))))</f>
        <v>0.5</v>
      </c>
      <c r="FU49" s="29">
        <f>IF(AND(FP49=0,FQ49=0),FU48,FQ49+(0.5*(1-MAX(FQ$5:FQ$104))))</f>
        <v>0.21600000000000003</v>
      </c>
      <c r="GB49" s="51">
        <f t="shared" si="16"/>
        <v>1.7564451433771375E-2</v>
      </c>
      <c r="GC49" s="51">
        <f t="shared" si="17"/>
        <v>7.3590978277556438E-2</v>
      </c>
      <c r="GK49" s="51">
        <v>45</v>
      </c>
      <c r="GL49" s="51">
        <f t="shared" si="5"/>
        <v>2.8274333882308138</v>
      </c>
      <c r="GM49" s="51">
        <f>($M$66/2000)*SIN(GL49)+($M$66/2000)</f>
        <v>0.32725424859373686</v>
      </c>
      <c r="GN49" s="51">
        <f>($M$66/2000)*COS(GL49)+$M$66/2000</f>
        <v>1.2235870926211617E-2</v>
      </c>
      <c r="GQ49" s="51">
        <f>IF($M$65="Hexagon",FZ49,IF(OR($M$65="Kerbdrain150",$M$65="Kerbdrain280"),GF49,IF(OR($M$65="Channel100",$M$65="Channel150",$M$65="Channel200",$M$65="Channel430"),GB49,IF(AND($M$65="Oval",$CL$11=0.15),GM49,IF(AND($M$65="Oval",$CL$11=0.225),GM49,IF(AND($M$65="Oval",$CL$11=0.35),GM49,IF(AND($M$65="Oval",$CL$11=0.55),GM49,IF(AND($M$65="Oval",$CL$11=0.7),GI49,IF(AND($M$65="Oval",$CL$11=0.9),GI49,"")))))))))</f>
        <v>0</v>
      </c>
      <c r="GR49" s="51">
        <f>IF($M$65="Hexagon",GA49,IF(OR($M$65="Kerbdrain150",$M$65="Kerbdrain280"),GG49,IF(OR($M$65="Channel100",$M$65="Channel150",$M$65="Channel200",$M$65="Channel430"),GC49,IF(AND($M$65="Oval",$CL$11=0.15),GN49,IF(AND($M$65="Oval",$CL$11=0.225),GN49,IF(AND($M$65="Oval",$CL$11=0.35),GN49,IF(AND($M$65="Oval",$CL$11=0.55),GN49,IF(AND($M$65="Oval",$CL$11=0.7),GJ49,IF(AND($M$65="Oval",$CL$11=0.9),GJ49,"")))))))))</f>
        <v>0</v>
      </c>
      <c r="GU49" s="51">
        <f>IF(MAX(GQ$5:GR$104)&lt;0.5,GQ49*2,GQ49)</f>
        <v>0</v>
      </c>
      <c r="GV49" s="51">
        <f>IF(MAX(GQ$5:GR$104)&lt;0.5,GR49*2,GR49)</f>
        <v>0</v>
      </c>
      <c r="GY49" s="51">
        <f>IF(AND(GU49=0,GV49=0),GY48,GU49+(0.5*(1-MAX(GU$5:GU$104))))</f>
        <v>0.5</v>
      </c>
      <c r="GZ49" s="51">
        <f>IF(AND(GU49=0,GV49=0),GZ48,GV49+(0.5*(1-MAX(GV$5:GV$104))))</f>
        <v>0.21600000000000003</v>
      </c>
    </row>
    <row r="50" spans="2:208">
      <c r="B50" s="9"/>
      <c r="C50" s="10"/>
      <c r="D50" s="10"/>
      <c r="E50" s="10"/>
      <c r="F50" s="11"/>
      <c r="G50" s="70"/>
      <c r="H50" s="37"/>
      <c r="I50" s="37"/>
      <c r="J50" s="37"/>
      <c r="K50" s="37"/>
      <c r="L50" s="37"/>
      <c r="M50" s="37"/>
      <c r="N50" s="37"/>
      <c r="O50" s="37"/>
      <c r="P50" s="37"/>
      <c r="Q50" s="37"/>
      <c r="R50" s="37"/>
      <c r="S50" s="37"/>
      <c r="T50" s="37"/>
      <c r="U50" s="41"/>
      <c r="V50" s="41"/>
      <c r="W50" s="41"/>
      <c r="X50" s="41"/>
      <c r="Y50" s="41"/>
      <c r="Z50" s="41"/>
      <c r="AA50" s="41"/>
      <c r="AB50" s="41"/>
      <c r="AC50" s="41"/>
      <c r="AD50" s="41"/>
      <c r="AE50" s="67"/>
      <c r="AF50" s="42"/>
      <c r="AG50" s="41"/>
      <c r="AH50" s="41"/>
      <c r="AI50" s="41"/>
      <c r="AJ50" s="4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I50" s="53" t="s">
        <v>94</v>
      </c>
      <c r="CJ50" s="51">
        <f>IF(CJ46="N/A","N/A",SUM(CJ$32+CJ$40+CJ$49))</f>
        <v>42</v>
      </c>
      <c r="CM50" s="29">
        <v>235</v>
      </c>
      <c r="CN50" s="29">
        <v>0.23499999999999999</v>
      </c>
      <c r="CO50" s="29">
        <f t="shared" si="32"/>
        <v>3.1724999999999996E-2</v>
      </c>
      <c r="EW50" s="29">
        <f t="shared" si="10"/>
        <v>1.3514558549825195E-2</v>
      </c>
      <c r="EX50" s="29">
        <f t="shared" si="11"/>
        <v>8.153934059775976E-2</v>
      </c>
      <c r="FF50" s="29">
        <v>46</v>
      </c>
      <c r="FG50" s="29">
        <f t="shared" si="0"/>
        <v>2.8902652413026098</v>
      </c>
      <c r="FH50" s="29">
        <f>($P$20/2000)*SIN(FG50)+($P$20/2000)</f>
        <v>0.31217247179121371</v>
      </c>
      <c r="FI50" s="29">
        <f>($P$20/2000)*COS(FG50)+$P$20/2000</f>
        <v>7.854209717842231E-3</v>
      </c>
      <c r="FL50" s="29">
        <f>IF($P$19="Hexagon",EU50,IF(OR($P$19="Kerbdrain150",$P$19="Kerbdrain280"),FA50,IF(OR($P$19="Channel100",$P$19="Channel150",$P$19="Channel200",$P$19="Channel430"),EW50,IF(AND($P$19="Oval",$CJ$11=0.15),FH50,IF(AND($P$19="Oval",$CJ$11=0.225),FH50,IF(AND($P$19="Oval",$CJ$11=0.35),FH50,IF(AND($P$19="Oval",$CJ$11=0.55),FH50,IF(AND($P$19="Oval",$CJ$11=0.7),FD50,IF(AND($P$19="Oval",$CJ$11=0.9),FD50,"")))))))))</f>
        <v>0</v>
      </c>
      <c r="FM50" s="29">
        <f>IF($P$19="Hexagon",EV50,IF(OR($P$19="Kerbdrain150",$P$19="Kerbdrain280"),FB50,IF(OR($P$19="Channel100",$P$19="Channel150",$P$19="Channel200",$P$19="Channel430"),EX50,IF(AND($P$19="Oval",$CJ$11=0.15),FI50,IF(AND($P$19="Oval",$CJ$11=0.225),FI50,IF(AND($P$19="Oval",$CJ$11=0.35),FI50,IF(AND($P$19="Oval",$CJ$11=0.55),FI50,IF(AND($P$19="Oval",$CJ$11=0.7),FE50,IF(AND($P$19="Oval",$CJ$11=0.9),FE50,"")))))))))</f>
        <v>0</v>
      </c>
      <c r="FP50" s="29">
        <f>IF(MAX(FL$5:FM$104)&lt;0.5,FL50*2,FL50)</f>
        <v>0</v>
      </c>
      <c r="FQ50" s="29">
        <f>IF(MAX(FL$5:FM$104)&lt;0.5,FM50*2,FM50)</f>
        <v>0</v>
      </c>
      <c r="FT50" s="29">
        <f>IF(AND(FP50=0,FQ50=0),FT49,FP50+(0.5*(1-MAX(FP$5:FP$104))))</f>
        <v>0.5</v>
      </c>
      <c r="FU50" s="29">
        <f>IF(AND(FP50=0,FQ50=0),FU49,FQ50+(0.5*(1-MAX(FQ$5:FQ$104))))</f>
        <v>0.21600000000000003</v>
      </c>
      <c r="GB50" s="51">
        <f t="shared" si="16"/>
        <v>1.3514558549825195E-2</v>
      </c>
      <c r="GC50" s="51">
        <f t="shared" si="17"/>
        <v>8.153934059775976E-2</v>
      </c>
      <c r="GK50" s="51">
        <v>46</v>
      </c>
      <c r="GL50" s="51">
        <f t="shared" si="5"/>
        <v>2.8902652413026098</v>
      </c>
      <c r="GM50" s="51">
        <f>($M$66/2000)*SIN(GL50)+($M$66/2000)</f>
        <v>0.31217247179121371</v>
      </c>
      <c r="GN50" s="51">
        <f>($M$66/2000)*COS(GL50)+$M$66/2000</f>
        <v>7.854209717842231E-3</v>
      </c>
      <c r="GQ50" s="51">
        <f>IF($M$65="Hexagon",FZ50,IF(OR($M$65="Kerbdrain150",$M$65="Kerbdrain280"),GF50,IF(OR($M$65="Channel100",$M$65="Channel150",$M$65="Channel200",$M$65="Channel430"),GB50,IF(AND($M$65="Oval",$CL$11=0.15),GM50,IF(AND($M$65="Oval",$CL$11=0.225),GM50,IF(AND($M$65="Oval",$CL$11=0.35),GM50,IF(AND($M$65="Oval",$CL$11=0.55),GM50,IF(AND($M$65="Oval",$CL$11=0.7),GI50,IF(AND($M$65="Oval",$CL$11=0.9),GI50,"")))))))))</f>
        <v>0</v>
      </c>
      <c r="GR50" s="51">
        <f>IF($M$65="Hexagon",GA50,IF(OR($M$65="Kerbdrain150",$M$65="Kerbdrain280"),GG50,IF(OR($M$65="Channel100",$M$65="Channel150",$M$65="Channel200",$M$65="Channel430"),GC50,IF(AND($M$65="Oval",$CL$11=0.15),GN50,IF(AND($M$65="Oval",$CL$11=0.225),GN50,IF(AND($M$65="Oval",$CL$11=0.35),GN50,IF(AND($M$65="Oval",$CL$11=0.55),GN50,IF(AND($M$65="Oval",$CL$11=0.7),GJ50,IF(AND($M$65="Oval",$CL$11=0.9),GJ50,"")))))))))</f>
        <v>0</v>
      </c>
      <c r="GU50" s="51">
        <f>IF(MAX(GQ$5:GR$104)&lt;0.5,GQ50*2,GQ50)</f>
        <v>0</v>
      </c>
      <c r="GV50" s="51">
        <f>IF(MAX(GQ$5:GR$104)&lt;0.5,GR50*2,GR50)</f>
        <v>0</v>
      </c>
      <c r="GY50" s="51">
        <f>IF(AND(GU50=0,GV50=0),GY49,GU50+(0.5*(1-MAX(GU$5:GU$104))))</f>
        <v>0.5</v>
      </c>
      <c r="GZ50" s="51">
        <f>IF(AND(GU50=0,GV50=0),GZ49,GV50+(0.5*(1-MAX(GV$5:GV$104))))</f>
        <v>0.21600000000000003</v>
      </c>
    </row>
    <row r="51" spans="2:208">
      <c r="B51" s="9"/>
      <c r="C51" s="10"/>
      <c r="D51" s="10"/>
      <c r="E51" s="10"/>
      <c r="F51" s="11"/>
      <c r="G51" s="70"/>
      <c r="H51" s="37"/>
      <c r="I51" s="37"/>
      <c r="J51" s="37"/>
      <c r="K51" s="37"/>
      <c r="L51" s="37"/>
      <c r="M51" s="37"/>
      <c r="N51" s="37"/>
      <c r="O51" s="37"/>
      <c r="P51" s="37"/>
      <c r="Q51" s="37"/>
      <c r="R51" s="37"/>
      <c r="S51" s="37"/>
      <c r="T51" s="37"/>
      <c r="U51" s="41"/>
      <c r="V51" s="41"/>
      <c r="W51" s="41"/>
      <c r="X51" s="41"/>
      <c r="Y51" s="41"/>
      <c r="Z51" s="41"/>
      <c r="AA51" s="41"/>
      <c r="AB51" s="41"/>
      <c r="AC51" s="41"/>
      <c r="AD51" s="41"/>
      <c r="AE51" s="67"/>
      <c r="AF51" s="42"/>
      <c r="AG51" s="41"/>
      <c r="AH51" s="41"/>
      <c r="AI51" s="41"/>
      <c r="AJ51" s="4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I51" s="53" t="s">
        <v>90</v>
      </c>
      <c r="CJ51" s="29">
        <f>IF(CJ46="N/A","N/A",CJ$27*CJ49+CJ42)</f>
        <v>128.91666666666669</v>
      </c>
      <c r="CM51" s="29">
        <v>285</v>
      </c>
      <c r="CN51" s="29">
        <v>0.28499999999999998</v>
      </c>
      <c r="CO51" s="29">
        <f t="shared" si="32"/>
        <v>3.8474999999999995E-2</v>
      </c>
      <c r="EG51" s="29" t="s">
        <v>36</v>
      </c>
      <c r="EH51" s="29" t="s">
        <v>16</v>
      </c>
      <c r="EI51" s="29" t="s">
        <v>37</v>
      </c>
      <c r="EJ51" s="29"/>
      <c r="EK51" s="29"/>
      <c r="EL51" s="29"/>
      <c r="EM51" s="29"/>
      <c r="EN51" s="29"/>
      <c r="EO51" s="29"/>
      <c r="EW51" s="29">
        <f t="shared" si="10"/>
        <v>9.9717390038683296E-3</v>
      </c>
      <c r="EX51" s="29">
        <f t="shared" si="11"/>
        <v>8.9726313518775649E-2</v>
      </c>
      <c r="FF51" s="29">
        <v>47</v>
      </c>
      <c r="FG51" s="29">
        <f t="shared" si="0"/>
        <v>2.9530970943744053</v>
      </c>
      <c r="FH51" s="29">
        <f>($P$20/2000)*SIN(FG51)+($P$20/2000)</f>
        <v>0.29684532864643126</v>
      </c>
      <c r="FI51" s="29">
        <f>($P$20/2000)*COS(FG51)+$P$20/2000</f>
        <v>4.4281873178278475E-3</v>
      </c>
      <c r="FL51" s="29">
        <f>IF($P$19="Hexagon",EU51,IF(OR($P$19="Kerbdrain150",$P$19="Kerbdrain280"),FA51,IF(OR($P$19="Channel100",$P$19="Channel150",$P$19="Channel200",$P$19="Channel430"),EW51,IF(AND($P$19="Oval",$CJ$11=0.15),FH51,IF(AND($P$19="Oval",$CJ$11=0.225),FH51,IF(AND($P$19="Oval",$CJ$11=0.35),FH51,IF(AND($P$19="Oval",$CJ$11=0.55),FH51,IF(AND($P$19="Oval",$CJ$11=0.7),FD51,IF(AND($P$19="Oval",$CJ$11=0.9),FD51,"")))))))))</f>
        <v>0</v>
      </c>
      <c r="FM51" s="29">
        <f>IF($P$19="Hexagon",EV51,IF(OR($P$19="Kerbdrain150",$P$19="Kerbdrain280"),FB51,IF(OR($P$19="Channel100",$P$19="Channel150",$P$19="Channel200",$P$19="Channel430"),EX51,IF(AND($P$19="Oval",$CJ$11=0.15),FI51,IF(AND($P$19="Oval",$CJ$11=0.225),FI51,IF(AND($P$19="Oval",$CJ$11=0.35),FI51,IF(AND($P$19="Oval",$CJ$11=0.55),FI51,IF(AND($P$19="Oval",$CJ$11=0.7),FE51,IF(AND($P$19="Oval",$CJ$11=0.9),FE51,"")))))))))</f>
        <v>0</v>
      </c>
      <c r="FP51" s="29">
        <f>IF(MAX(FL$5:FM$104)&lt;0.5,FL51*2,FL51)</f>
        <v>0</v>
      </c>
      <c r="FQ51" s="29">
        <f>IF(MAX(FL$5:FM$104)&lt;0.5,FM51*2,FM51)</f>
        <v>0</v>
      </c>
      <c r="FT51" s="29">
        <f>IF(AND(FP51=0,FQ51=0),FT50,FP51+(0.5*(1-MAX(FP$5:FP$104))))</f>
        <v>0.5</v>
      </c>
      <c r="FU51" s="29">
        <f>IF(AND(FP51=0,FQ51=0),FU50,FQ51+(0.5*(1-MAX(FQ$5:FQ$104))))</f>
        <v>0.21600000000000003</v>
      </c>
      <c r="GB51" s="51">
        <f t="shared" si="16"/>
        <v>9.9717390038683296E-3</v>
      </c>
      <c r="GC51" s="51">
        <f t="shared" si="17"/>
        <v>8.9726313518775649E-2</v>
      </c>
      <c r="GK51" s="51">
        <v>47</v>
      </c>
      <c r="GL51" s="51">
        <f t="shared" si="5"/>
        <v>2.9530970943744053</v>
      </c>
      <c r="GM51" s="51">
        <f>($M$66/2000)*SIN(GL51)+($M$66/2000)</f>
        <v>0.29684532864643126</v>
      </c>
      <c r="GN51" s="51">
        <f>($M$66/2000)*COS(GL51)+$M$66/2000</f>
        <v>4.4281873178278475E-3</v>
      </c>
      <c r="GQ51" s="51">
        <f>IF($M$65="Hexagon",FZ51,IF(OR($M$65="Kerbdrain150",$M$65="Kerbdrain280"),GF51,IF(OR($M$65="Channel100",$M$65="Channel150",$M$65="Channel200",$M$65="Channel430"),GB51,IF(AND($M$65="Oval",$CL$11=0.15),GM51,IF(AND($M$65="Oval",$CL$11=0.225),GM51,IF(AND($M$65="Oval",$CL$11=0.35),GM51,IF(AND($M$65="Oval",$CL$11=0.55),GM51,IF(AND($M$65="Oval",$CL$11=0.7),GI51,IF(AND($M$65="Oval",$CL$11=0.9),GI51,"")))))))))</f>
        <v>0</v>
      </c>
      <c r="GR51" s="51">
        <f>IF($M$65="Hexagon",GA51,IF(OR($M$65="Kerbdrain150",$M$65="Kerbdrain280"),GG51,IF(OR($M$65="Channel100",$M$65="Channel150",$M$65="Channel200",$M$65="Channel430"),GC51,IF(AND($M$65="Oval",$CL$11=0.15),GN51,IF(AND($M$65="Oval",$CL$11=0.225),GN51,IF(AND($M$65="Oval",$CL$11=0.35),GN51,IF(AND($M$65="Oval",$CL$11=0.55),GN51,IF(AND($M$65="Oval",$CL$11=0.7),GJ51,IF(AND($M$65="Oval",$CL$11=0.9),GJ51,"")))))))))</f>
        <v>0</v>
      </c>
      <c r="GU51" s="51">
        <f>IF(MAX(GQ$5:GR$104)&lt;0.5,GQ51*2,GQ51)</f>
        <v>0</v>
      </c>
      <c r="GV51" s="51">
        <f>IF(MAX(GQ$5:GR$104)&lt;0.5,GR51*2,GR51)</f>
        <v>0</v>
      </c>
      <c r="GY51" s="51">
        <f>IF(AND(GU51=0,GV51=0),GY50,GU51+(0.5*(1-MAX(GU$5:GU$104))))</f>
        <v>0.5</v>
      </c>
      <c r="GZ51" s="51">
        <f>IF(AND(GU51=0,GV51=0),GZ50,GV51+(0.5*(1-MAX(GV$5:GV$104))))</f>
        <v>0.21600000000000003</v>
      </c>
    </row>
    <row r="52" spans="2:208" ht="15.75" thickBot="1">
      <c r="B52" s="16"/>
      <c r="C52" s="17"/>
      <c r="D52" s="17"/>
      <c r="E52" s="17"/>
      <c r="F52" s="18"/>
      <c r="G52" s="44"/>
      <c r="H52" s="45"/>
      <c r="I52" s="45"/>
      <c r="J52" s="45"/>
      <c r="K52" s="45"/>
      <c r="L52" s="45"/>
      <c r="M52" s="45"/>
      <c r="N52" s="45"/>
      <c r="O52" s="45"/>
      <c r="P52" s="45"/>
      <c r="Q52" s="45"/>
      <c r="R52" s="45"/>
      <c r="S52" s="45"/>
      <c r="T52" s="45"/>
      <c r="U52" s="46"/>
      <c r="V52" s="46"/>
      <c r="W52" s="46"/>
      <c r="X52" s="46"/>
      <c r="Y52" s="46"/>
      <c r="Z52" s="46"/>
      <c r="AA52" s="46"/>
      <c r="AB52" s="46"/>
      <c r="AC52" s="46"/>
      <c r="AD52" s="46"/>
      <c r="AE52" s="69"/>
      <c r="AF52" s="47"/>
      <c r="AG52" s="46"/>
      <c r="AH52" s="46"/>
      <c r="AI52" s="46"/>
      <c r="AJ52" s="48"/>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I52" s="53" t="s">
        <v>91</v>
      </c>
      <c r="CJ52" s="29">
        <f>IF(CJ46="N/A","N/A",(2.66*CJ48^1.25)*((6.74*(CJ$22/100)^0.7)+0.4+(CJ50/CJ47)*CJ$23)*1000)</f>
        <v>86.67536536317651</v>
      </c>
      <c r="EG52" s="29"/>
      <c r="EH52" s="29"/>
      <c r="EI52" s="29">
        <v>5</v>
      </c>
      <c r="EJ52" s="29">
        <v>10</v>
      </c>
      <c r="EK52" s="29">
        <v>15</v>
      </c>
      <c r="EL52" s="29">
        <v>30</v>
      </c>
      <c r="EM52" s="29">
        <v>45</v>
      </c>
      <c r="EN52" s="29">
        <v>60</v>
      </c>
      <c r="EO52" s="29">
        <v>120</v>
      </c>
      <c r="EP52" s="29">
        <v>240</v>
      </c>
      <c r="EQ52" s="29">
        <v>480</v>
      </c>
      <c r="EW52" s="29">
        <f t="shared" si="10"/>
        <v>6.9499746860882117E-3</v>
      </c>
      <c r="EX52" s="29">
        <f t="shared" si="11"/>
        <v>9.8119586798757458E-2</v>
      </c>
      <c r="FF52" s="29">
        <v>48</v>
      </c>
      <c r="FG52" s="29">
        <f t="shared" si="0"/>
        <v>3.0159289474462012</v>
      </c>
      <c r="FH52" s="29">
        <f>($P$20/2000)*SIN(FG52)+($P$20/2000)</f>
        <v>0.28133330839107612</v>
      </c>
      <c r="FI52" s="29">
        <f>($P$20/2000)*COS(FG52)+$P$20/2000</f>
        <v>1.9713246713805588E-3</v>
      </c>
      <c r="FL52" s="29">
        <f>IF($P$19="Hexagon",EU52,IF(OR($P$19="Kerbdrain150",$P$19="Kerbdrain280"),FA52,IF(OR($P$19="Channel100",$P$19="Channel150",$P$19="Channel200",$P$19="Channel430"),EW52,IF(AND($P$19="Oval",$CJ$11=0.15),FH52,IF(AND($P$19="Oval",$CJ$11=0.225),FH52,IF(AND($P$19="Oval",$CJ$11=0.35),FH52,IF(AND($P$19="Oval",$CJ$11=0.55),FH52,IF(AND($P$19="Oval",$CJ$11=0.7),FD52,IF(AND($P$19="Oval",$CJ$11=0.9),FD52,"")))))))))</f>
        <v>0</v>
      </c>
      <c r="FM52" s="29">
        <f>IF($P$19="Hexagon",EV52,IF(OR($P$19="Kerbdrain150",$P$19="Kerbdrain280"),FB52,IF(OR($P$19="Channel100",$P$19="Channel150",$P$19="Channel200",$P$19="Channel430"),EX52,IF(AND($P$19="Oval",$CJ$11=0.15),FI52,IF(AND($P$19="Oval",$CJ$11=0.225),FI52,IF(AND($P$19="Oval",$CJ$11=0.35),FI52,IF(AND($P$19="Oval",$CJ$11=0.55),FI52,IF(AND($P$19="Oval",$CJ$11=0.7),FE52,IF(AND($P$19="Oval",$CJ$11=0.9),FE52,"")))))))))</f>
        <v>0</v>
      </c>
      <c r="FP52" s="29">
        <f>IF(MAX(FL$5:FM$104)&lt;0.5,FL52*2,FL52)</f>
        <v>0</v>
      </c>
      <c r="FQ52" s="29">
        <f>IF(MAX(FL$5:FM$104)&lt;0.5,FM52*2,FM52)</f>
        <v>0</v>
      </c>
      <c r="FT52" s="29">
        <f>IF(AND(FP52=0,FQ52=0),FT51,FP52+(0.5*(1-MAX(FP$5:FP$104))))</f>
        <v>0.5</v>
      </c>
      <c r="FU52" s="29">
        <f>IF(AND(FP52=0,FQ52=0),FU51,FQ52+(0.5*(1-MAX(FQ$5:FQ$104))))</f>
        <v>0.21600000000000003</v>
      </c>
      <c r="GB52" s="51">
        <f t="shared" si="16"/>
        <v>6.9499746860882117E-3</v>
      </c>
      <c r="GC52" s="51">
        <f t="shared" si="17"/>
        <v>9.8119586798757458E-2</v>
      </c>
      <c r="GK52" s="51">
        <v>48</v>
      </c>
      <c r="GL52" s="51">
        <f t="shared" si="5"/>
        <v>3.0159289474462012</v>
      </c>
      <c r="GM52" s="51">
        <f>($M$66/2000)*SIN(GL52)+($M$66/2000)</f>
        <v>0.28133330839107612</v>
      </c>
      <c r="GN52" s="51">
        <f>($M$66/2000)*COS(GL52)+$M$66/2000</f>
        <v>1.9713246713805588E-3</v>
      </c>
      <c r="GQ52" s="51">
        <f>IF($M$65="Hexagon",FZ52,IF(OR($M$65="Kerbdrain150",$M$65="Kerbdrain280"),GF52,IF(OR($M$65="Channel100",$M$65="Channel150",$M$65="Channel200",$M$65="Channel430"),GB52,IF(AND($M$65="Oval",$CL$11=0.15),GM52,IF(AND($M$65="Oval",$CL$11=0.225),GM52,IF(AND($M$65="Oval",$CL$11=0.35),GM52,IF(AND($M$65="Oval",$CL$11=0.55),GM52,IF(AND($M$65="Oval",$CL$11=0.7),GI52,IF(AND($M$65="Oval",$CL$11=0.9),GI52,"")))))))))</f>
        <v>0</v>
      </c>
      <c r="GR52" s="51">
        <f>IF($M$65="Hexagon",GA52,IF(OR($M$65="Kerbdrain150",$M$65="Kerbdrain280"),GG52,IF(OR($M$65="Channel100",$M$65="Channel150",$M$65="Channel200",$M$65="Channel430"),GC52,IF(AND($M$65="Oval",$CL$11=0.15),GN52,IF(AND($M$65="Oval",$CL$11=0.225),GN52,IF(AND($M$65="Oval",$CL$11=0.35),GN52,IF(AND($M$65="Oval",$CL$11=0.55),GN52,IF(AND($M$65="Oval",$CL$11=0.7),GJ52,IF(AND($M$65="Oval",$CL$11=0.9),GJ52,"")))))))))</f>
        <v>0</v>
      </c>
      <c r="GU52" s="51">
        <f>IF(MAX(GQ$5:GR$104)&lt;0.5,GQ52*2,GQ52)</f>
        <v>0</v>
      </c>
      <c r="GV52" s="51">
        <f>IF(MAX(GQ$5:GR$104)&lt;0.5,GR52*2,GR52)</f>
        <v>0</v>
      </c>
      <c r="GY52" s="51">
        <f>IF(AND(GU52=0,GV52=0),GY51,GU52+(0.5*(1-MAX(GU$5:GU$104))))</f>
        <v>0.5</v>
      </c>
      <c r="GZ52" s="51">
        <f>IF(AND(GU52=0,GV52=0),GZ51,GV52+(0.5*(1-MAX(GV$5:GV$104))))</f>
        <v>0.21600000000000003</v>
      </c>
    </row>
    <row r="53" spans="2:208">
      <c r="B53" s="146" t="s">
        <v>3</v>
      </c>
      <c r="C53" s="147"/>
      <c r="D53" s="147"/>
      <c r="E53" s="147"/>
      <c r="F53" s="148"/>
      <c r="G53" s="155" t="s">
        <v>4</v>
      </c>
      <c r="H53" s="156"/>
      <c r="I53" s="156"/>
      <c r="J53" s="156"/>
      <c r="K53" s="156"/>
      <c r="L53" s="156"/>
      <c r="M53" s="165" t="str">
        <f>IF(M2="","",M2)</f>
        <v/>
      </c>
      <c r="N53" s="147"/>
      <c r="O53" s="147"/>
      <c r="P53" s="147"/>
      <c r="Q53" s="147"/>
      <c r="R53" s="147"/>
      <c r="S53" s="147"/>
      <c r="T53" s="147"/>
      <c r="U53" s="147"/>
      <c r="V53" s="147"/>
      <c r="W53" s="147"/>
      <c r="X53" s="147"/>
      <c r="Y53" s="147"/>
      <c r="Z53" s="147"/>
      <c r="AA53" s="147"/>
      <c r="AB53" s="147"/>
      <c r="AC53" s="147"/>
      <c r="AD53" s="147"/>
      <c r="AE53" s="148"/>
      <c r="AF53" s="160" t="s">
        <v>5</v>
      </c>
      <c r="AG53" s="156"/>
      <c r="AH53" s="156"/>
      <c r="AI53" s="156"/>
      <c r="AJ53" s="16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I53" s="53" t="str">
        <f>IF(CJ52&gt;CJ51*1.2,"Channel Length Can Be Increased",IF(CJ52&gt;CJ51,"Channel Length Is OK","Insufficient Capacity, Decrease Channel Length"))</f>
        <v>Insufficient Capacity, Decrease Channel Length</v>
      </c>
      <c r="CM53" s="29" t="s">
        <v>98</v>
      </c>
      <c r="EG53" s="29" t="s">
        <v>38</v>
      </c>
      <c r="EH53" s="29">
        <v>1</v>
      </c>
      <c r="EI53" s="29">
        <v>41.9</v>
      </c>
      <c r="EJ53" s="29">
        <v>29.9</v>
      </c>
      <c r="EK53" s="29">
        <v>23.9</v>
      </c>
      <c r="EL53" s="29">
        <v>16</v>
      </c>
      <c r="EM53" s="29">
        <v>12.6</v>
      </c>
      <c r="EN53" s="29">
        <v>10.6</v>
      </c>
      <c r="EO53" s="29">
        <v>6.9</v>
      </c>
      <c r="EP53" s="29">
        <v>4.5</v>
      </c>
      <c r="EQ53" s="29">
        <v>3</v>
      </c>
      <c r="EW53" s="29">
        <f t="shared" si="10"/>
        <v>4.4611911197343923E-3</v>
      </c>
      <c r="EX53" s="29">
        <f t="shared" si="11"/>
        <v>0.10668603602259055</v>
      </c>
      <c r="FF53" s="29">
        <v>49</v>
      </c>
      <c r="FG53" s="29">
        <f t="shared" si="0"/>
        <v>3.0787608005179972</v>
      </c>
      <c r="FH53" s="29">
        <f>($P$20/2000)*SIN(FG53)+($P$20/2000)</f>
        <v>0.26569762988232837</v>
      </c>
      <c r="FI53" s="29">
        <f>($P$20/2000)*COS(FG53)+$P$20/2000</f>
        <v>4.9331789293211026E-4</v>
      </c>
      <c r="FL53" s="29">
        <f>IF($P$19="Hexagon",EU53,IF(OR($P$19="Kerbdrain150",$P$19="Kerbdrain280"),FA53,IF(OR($P$19="Channel100",$P$19="Channel150",$P$19="Channel200",$P$19="Channel430"),EW53,IF(AND($P$19="Oval",$CJ$11=0.15),FH53,IF(AND($P$19="Oval",$CJ$11=0.225),FH53,IF(AND($P$19="Oval",$CJ$11=0.35),FH53,IF(AND($P$19="Oval",$CJ$11=0.55),FH53,IF(AND($P$19="Oval",$CJ$11=0.7),FD53,IF(AND($P$19="Oval",$CJ$11=0.9),FD53,"")))))))))</f>
        <v>0</v>
      </c>
      <c r="FM53" s="29">
        <f>IF($P$19="Hexagon",EV53,IF(OR($P$19="Kerbdrain150",$P$19="Kerbdrain280"),FB53,IF(OR($P$19="Channel100",$P$19="Channel150",$P$19="Channel200",$P$19="Channel430"),EX53,IF(AND($P$19="Oval",$CJ$11=0.15),FI53,IF(AND($P$19="Oval",$CJ$11=0.225),FI53,IF(AND($P$19="Oval",$CJ$11=0.35),FI53,IF(AND($P$19="Oval",$CJ$11=0.55),FI53,IF(AND($P$19="Oval",$CJ$11=0.7),FE53,IF(AND($P$19="Oval",$CJ$11=0.9),FE53,"")))))))))</f>
        <v>0</v>
      </c>
      <c r="FP53" s="29">
        <f>IF(MAX(FL$5:FM$104)&lt;0.5,FL53*2,FL53)</f>
        <v>0</v>
      </c>
      <c r="FQ53" s="29">
        <f>IF(MAX(FL$5:FM$104)&lt;0.5,FM53*2,FM53)</f>
        <v>0</v>
      </c>
      <c r="FT53" s="29">
        <f>IF(AND(FP53=0,FQ53=0),FT52,FP53+(0.5*(1-MAX(FP$5:FP$104))))</f>
        <v>0.5</v>
      </c>
      <c r="FU53" s="29">
        <f>IF(AND(FP53=0,FQ53=0),FU52,FQ53+(0.5*(1-MAX(FQ$5:FQ$104))))</f>
        <v>0.21600000000000003</v>
      </c>
      <c r="GB53" s="51">
        <f t="shared" si="16"/>
        <v>4.4611911197343923E-3</v>
      </c>
      <c r="GC53" s="51">
        <f t="shared" si="17"/>
        <v>0.10668603602259055</v>
      </c>
      <c r="GK53" s="51">
        <v>49</v>
      </c>
      <c r="GL53" s="51">
        <f t="shared" si="5"/>
        <v>3.0787608005179972</v>
      </c>
      <c r="GM53" s="51">
        <f>($M$66/2000)*SIN(GL53)+($M$66/2000)</f>
        <v>0.26569762988232837</v>
      </c>
      <c r="GN53" s="51">
        <f>($M$66/2000)*COS(GL53)+$M$66/2000</f>
        <v>4.9331789293211026E-4</v>
      </c>
      <c r="GQ53" s="51">
        <f>IF($M$65="Hexagon",FZ53,IF(OR($M$65="Kerbdrain150",$M$65="Kerbdrain280"),GF53,IF(OR($M$65="Channel100",$M$65="Channel150",$M$65="Channel200",$M$65="Channel430"),GB53,IF(AND($M$65="Oval",$CL$11=0.15),GM53,IF(AND($M$65="Oval",$CL$11=0.225),GM53,IF(AND($M$65="Oval",$CL$11=0.35),GM53,IF(AND($M$65="Oval",$CL$11=0.55),GM53,IF(AND($M$65="Oval",$CL$11=0.7),GI53,IF(AND($M$65="Oval",$CL$11=0.9),GI53,"")))))))))</f>
        <v>0</v>
      </c>
      <c r="GR53" s="51">
        <f>IF($M$65="Hexagon",GA53,IF(OR($M$65="Kerbdrain150",$M$65="Kerbdrain280"),GG53,IF(OR($M$65="Channel100",$M$65="Channel150",$M$65="Channel200",$M$65="Channel430"),GC53,IF(AND($M$65="Oval",$CL$11=0.15),GN53,IF(AND($M$65="Oval",$CL$11=0.225),GN53,IF(AND($M$65="Oval",$CL$11=0.35),GN53,IF(AND($M$65="Oval",$CL$11=0.55),GN53,IF(AND($M$65="Oval",$CL$11=0.7),GJ53,IF(AND($M$65="Oval",$CL$11=0.9),GJ53,"")))))))))</f>
        <v>0</v>
      </c>
      <c r="GU53" s="51">
        <f>IF(MAX(GQ$5:GR$104)&lt;0.5,GQ53*2,GQ53)</f>
        <v>0</v>
      </c>
      <c r="GV53" s="51">
        <f>IF(MAX(GQ$5:GR$104)&lt;0.5,GR53*2,GR53)</f>
        <v>0</v>
      </c>
      <c r="GY53" s="51">
        <f>IF(AND(GU53=0,GV53=0),GY52,GU53+(0.5*(1-MAX(GU$5:GU$104))))</f>
        <v>0.5</v>
      </c>
      <c r="GZ53" s="51">
        <f>IF(AND(GU53=0,GV53=0),GZ52,GV53+(0.5*(1-MAX(GV$5:GV$104))))</f>
        <v>0.21600000000000003</v>
      </c>
    </row>
    <row r="54" spans="2:208">
      <c r="B54" s="149"/>
      <c r="C54" s="150"/>
      <c r="D54" s="150"/>
      <c r="E54" s="150"/>
      <c r="F54" s="151"/>
      <c r="G54" s="102" t="s">
        <v>6</v>
      </c>
      <c r="H54" s="100"/>
      <c r="I54" s="100"/>
      <c r="J54" s="100"/>
      <c r="K54" s="100"/>
      <c r="L54" s="162"/>
      <c r="M54" s="163" t="str">
        <f>IF(M3="","",M3)</f>
        <v>Linear Drainage Design</v>
      </c>
      <c r="N54" s="100"/>
      <c r="O54" s="100"/>
      <c r="P54" s="100"/>
      <c r="Q54" s="100"/>
      <c r="R54" s="100"/>
      <c r="S54" s="100"/>
      <c r="T54" s="100"/>
      <c r="U54" s="100"/>
      <c r="V54" s="100"/>
      <c r="W54" s="100"/>
      <c r="X54" s="100"/>
      <c r="Y54" s="100"/>
      <c r="Z54" s="100"/>
      <c r="AA54" s="100"/>
      <c r="AB54" s="100"/>
      <c r="AC54" s="100"/>
      <c r="AD54" s="100"/>
      <c r="AE54" s="101"/>
      <c r="AF54" s="96" t="s">
        <v>10</v>
      </c>
      <c r="AG54" s="97"/>
      <c r="AH54" s="97"/>
      <c r="AI54" s="97"/>
      <c r="AJ54" s="98"/>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M54" s="29">
        <v>135</v>
      </c>
      <c r="CN54" s="29">
        <v>0.13500000000000001</v>
      </c>
      <c r="CO54" s="29">
        <f t="shared" ref="CO54:CO57" si="33">CX22</f>
        <v>3.4020000000000009E-2</v>
      </c>
      <c r="EG54" s="29">
        <v>17</v>
      </c>
      <c r="EH54" s="29">
        <v>2</v>
      </c>
      <c r="EI54" s="29">
        <v>50.2</v>
      </c>
      <c r="EJ54" s="29">
        <v>37.4</v>
      </c>
      <c r="EK54" s="29">
        <v>30.5</v>
      </c>
      <c r="EL54" s="29">
        <v>20.7</v>
      </c>
      <c r="EM54" s="29">
        <v>16.2</v>
      </c>
      <c r="EN54" s="29">
        <v>13.6</v>
      </c>
      <c r="EO54" s="29">
        <v>8.6999999999999993</v>
      </c>
      <c r="EP54" s="29">
        <v>5.6</v>
      </c>
      <c r="EQ54" s="29">
        <v>4</v>
      </c>
      <c r="EW54" s="29">
        <f t="shared" si="10"/>
        <v>2.5152103965261907E-3</v>
      </c>
      <c r="EX54" s="29">
        <f t="shared" si="11"/>
        <v>0.11539185332882712</v>
      </c>
      <c r="FF54" s="29">
        <v>50</v>
      </c>
      <c r="FG54" s="29">
        <f t="shared" si="0"/>
        <v>3.1415926535897931</v>
      </c>
      <c r="FH54" s="29">
        <f>($P$20/2000)*SIN(FG54)+($P$20/2000)</f>
        <v>0.25000000000000006</v>
      </c>
      <c r="FI54" s="29">
        <f>($P$20/2000)*COS(FG54)+$P$20/2000</f>
        <v>0</v>
      </c>
      <c r="FL54" s="29">
        <f>IF($P$19="Hexagon",EU54,IF(OR($P$19="Kerbdrain150",$P$19="Kerbdrain280"),FA54,IF(OR($P$19="Channel100",$P$19="Channel150",$P$19="Channel200",$P$19="Channel430"),EW54,IF(AND($P$19="Oval",$CJ$11=0.15),FH54,IF(AND($P$19="Oval",$CJ$11=0.225),FH54,IF(AND($P$19="Oval",$CJ$11=0.35),FH54,IF(AND($P$19="Oval",$CJ$11=0.55),FH54,IF(AND($P$19="Oval",$CJ$11=0.7),FD54,IF(AND($P$19="Oval",$CJ$11=0.9),FD54,"")))))))))</f>
        <v>0</v>
      </c>
      <c r="FM54" s="29">
        <f>IF($P$19="Hexagon",EV54,IF(OR($P$19="Kerbdrain150",$P$19="Kerbdrain280"),FB54,IF(OR($P$19="Channel100",$P$19="Channel150",$P$19="Channel200",$P$19="Channel430"),EX54,IF(AND($P$19="Oval",$CJ$11=0.15),FI54,IF(AND($P$19="Oval",$CJ$11=0.225),FI54,IF(AND($P$19="Oval",$CJ$11=0.35),FI54,IF(AND($P$19="Oval",$CJ$11=0.55),FI54,IF(AND($P$19="Oval",$CJ$11=0.7),FE54,IF(AND($P$19="Oval",$CJ$11=0.9),FE54,"")))))))))</f>
        <v>0</v>
      </c>
      <c r="FP54" s="29">
        <f>IF(MAX(FL$5:FM$104)&lt;0.5,FL54*2,FL54)</f>
        <v>0</v>
      </c>
      <c r="FQ54" s="29">
        <f>IF(MAX(FL$5:FM$104)&lt;0.5,FM54*2,FM54)</f>
        <v>0</v>
      </c>
      <c r="FT54" s="29">
        <f>IF(AND(FP54=0,FQ54=0),FT53,FP54+(0.5*(1-MAX(FP$5:FP$104))))</f>
        <v>0.5</v>
      </c>
      <c r="FU54" s="29">
        <f>IF(AND(FP54=0,FQ54=0),FU53,FQ54+(0.5*(1-MAX(FQ$5:FQ$104))))</f>
        <v>0.21600000000000003</v>
      </c>
      <c r="GB54" s="51">
        <f t="shared" si="16"/>
        <v>2.5152103965261907E-3</v>
      </c>
      <c r="GC54" s="51">
        <f t="shared" si="17"/>
        <v>0.11539185332882712</v>
      </c>
      <c r="GK54" s="51">
        <v>50</v>
      </c>
      <c r="GL54" s="51">
        <f t="shared" si="5"/>
        <v>3.1415926535897931</v>
      </c>
      <c r="GM54" s="51">
        <f>($M$66/2000)*SIN(GL54)+($M$66/2000)</f>
        <v>0.25000000000000006</v>
      </c>
      <c r="GN54" s="51">
        <f>($M$66/2000)*COS(GL54)+$M$66/2000</f>
        <v>0</v>
      </c>
      <c r="GQ54" s="51">
        <f>IF($M$65="Hexagon",FZ54,IF(OR($M$65="Kerbdrain150",$M$65="Kerbdrain280"),GF54,IF(OR($M$65="Channel100",$M$65="Channel150",$M$65="Channel200",$M$65="Channel430"),GB54,IF(AND($M$65="Oval",$CL$11=0.15),GM54,IF(AND($M$65="Oval",$CL$11=0.225),GM54,IF(AND($M$65="Oval",$CL$11=0.35),GM54,IF(AND($M$65="Oval",$CL$11=0.55),GM54,IF(AND($M$65="Oval",$CL$11=0.7),GI54,IF(AND($M$65="Oval",$CL$11=0.9),GI54,"")))))))))</f>
        <v>0</v>
      </c>
      <c r="GR54" s="51">
        <f>IF($M$65="Hexagon",GA54,IF(OR($M$65="Kerbdrain150",$M$65="Kerbdrain280"),GG54,IF(OR($M$65="Channel100",$M$65="Channel150",$M$65="Channel200",$M$65="Channel430"),GC54,IF(AND($M$65="Oval",$CL$11=0.15),GN54,IF(AND($M$65="Oval",$CL$11=0.225),GN54,IF(AND($M$65="Oval",$CL$11=0.35),GN54,IF(AND($M$65="Oval",$CL$11=0.55),GN54,IF(AND($M$65="Oval",$CL$11=0.7),GJ54,IF(AND($M$65="Oval",$CL$11=0.9),GJ54,"")))))))))</f>
        <v>0</v>
      </c>
      <c r="GU54" s="51">
        <f>IF(MAX(GQ$5:GR$104)&lt;0.5,GQ54*2,GQ54)</f>
        <v>0</v>
      </c>
      <c r="GV54" s="51">
        <f>IF(MAX(GQ$5:GR$104)&lt;0.5,GR54*2,GR54)</f>
        <v>0</v>
      </c>
      <c r="GY54" s="51">
        <f>IF(AND(GU54=0,GV54=0),GY53,GU54+(0.5*(1-MAX(GU$5:GU$104))))</f>
        <v>0.5</v>
      </c>
      <c r="GZ54" s="51">
        <f>IF(AND(GU54=0,GV54=0),GZ53,GV54+(0.5*(1-MAX(GV$5:GV$104))))</f>
        <v>0.21600000000000003</v>
      </c>
    </row>
    <row r="55" spans="2:208">
      <c r="B55" s="149"/>
      <c r="C55" s="150"/>
      <c r="D55" s="150"/>
      <c r="E55" s="150"/>
      <c r="F55" s="151"/>
      <c r="G55" s="99" t="s">
        <v>10</v>
      </c>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1"/>
      <c r="AF55" s="102" t="s">
        <v>7</v>
      </c>
      <c r="AG55" s="103"/>
      <c r="AH55" s="103"/>
      <c r="AI55" s="103"/>
      <c r="AJ55" s="104"/>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I55" s="53" t="s">
        <v>99</v>
      </c>
      <c r="CJ55" s="56">
        <f>IF(HLOOKUP(M$65,CQ$5:CX$11,5,FALSE)&gt;M66,"N/A",HLOOKUP(M$65,CQ$5:CX$11,5,FALSE))</f>
        <v>400</v>
      </c>
      <c r="CK55" s="29" t="s">
        <v>71</v>
      </c>
      <c r="CM55" s="29">
        <v>205</v>
      </c>
      <c r="CN55" s="29">
        <v>0.20499999999999999</v>
      </c>
      <c r="CO55" s="29">
        <f t="shared" si="33"/>
        <v>5.1659999999999998E-2</v>
      </c>
      <c r="EG55" s="29" t="s">
        <v>39</v>
      </c>
      <c r="EH55" s="29">
        <v>5</v>
      </c>
      <c r="EI55" s="29">
        <v>66.5</v>
      </c>
      <c r="EJ55" s="29">
        <v>49.2</v>
      </c>
      <c r="EK55" s="29">
        <v>40</v>
      </c>
      <c r="EL55" s="29">
        <v>26.9</v>
      </c>
      <c r="EM55" s="29">
        <v>20.9</v>
      </c>
      <c r="EN55" s="29">
        <v>17.399999999999999</v>
      </c>
      <c r="EO55" s="29">
        <v>11.1</v>
      </c>
      <c r="EP55" s="29">
        <v>7</v>
      </c>
      <c r="EQ55" s="29">
        <v>4</v>
      </c>
      <c r="EW55" s="29">
        <f t="shared" si="10"/>
        <v>1.1197124133441594E-3</v>
      </c>
      <c r="EX55" s="29">
        <f t="shared" si="11"/>
        <v>0.12420268083386876</v>
      </c>
      <c r="FF55" s="29">
        <v>51</v>
      </c>
      <c r="FG55" s="29">
        <f t="shared" si="0"/>
        <v>3.2044245066615891</v>
      </c>
      <c r="FH55" s="29">
        <f>($P$20/2000)*SIN(FG55)+($P$20/2000)</f>
        <v>0.23430237011767166</v>
      </c>
      <c r="FI55" s="29">
        <f>($P$20/2000)*COS(FG55)+$P$20/2000</f>
        <v>4.9331789293211026E-4</v>
      </c>
      <c r="FL55" s="29">
        <f>IF($P$19="Hexagon",EU55,IF(OR($P$19="Kerbdrain150",$P$19="Kerbdrain280"),FA55,IF(OR($P$19="Channel100",$P$19="Channel150",$P$19="Channel200",$P$19="Channel430"),EW55,IF(AND($P$19="Oval",$CJ$11=0.15),FH55,IF(AND($P$19="Oval",$CJ$11=0.225),FH55,IF(AND($P$19="Oval",$CJ$11=0.35),FH55,IF(AND($P$19="Oval",$CJ$11=0.55),FH55,IF(AND($P$19="Oval",$CJ$11=0.7),FD55,IF(AND($P$19="Oval",$CJ$11=0.9),FD55,"")))))))))</f>
        <v>0</v>
      </c>
      <c r="FM55" s="29">
        <f>IF($P$19="Hexagon",EV55,IF(OR($P$19="Kerbdrain150",$P$19="Kerbdrain280"),FB55,IF(OR($P$19="Channel100",$P$19="Channel150",$P$19="Channel200",$P$19="Channel430"),EX55,IF(AND($P$19="Oval",$CJ$11=0.15),FI55,IF(AND($P$19="Oval",$CJ$11=0.225),FI55,IF(AND($P$19="Oval",$CJ$11=0.35),FI55,IF(AND($P$19="Oval",$CJ$11=0.55),FI55,IF(AND($P$19="Oval",$CJ$11=0.7),FE55,IF(AND($P$19="Oval",$CJ$11=0.9),FE55,"")))))))))</f>
        <v>0</v>
      </c>
      <c r="FP55" s="29">
        <f>IF(MAX(FL$5:FM$104)&lt;0.5,FL55*2,FL55)</f>
        <v>0</v>
      </c>
      <c r="FQ55" s="29">
        <f>IF(MAX(FL$5:FM$104)&lt;0.5,FM55*2,FM55)</f>
        <v>0</v>
      </c>
      <c r="FT55" s="29">
        <f>IF(AND(FP55=0,FQ55=0),FT54,FP55+(0.5*(1-MAX(FP$5:FP$104))))</f>
        <v>0.5</v>
      </c>
      <c r="FU55" s="29">
        <f>IF(AND(FP55=0,FQ55=0),FU54,FQ55+(0.5*(1-MAX(FQ$5:FQ$104))))</f>
        <v>0.21600000000000003</v>
      </c>
      <c r="GB55" s="51">
        <f t="shared" si="16"/>
        <v>1.1197124133441594E-3</v>
      </c>
      <c r="GC55" s="51">
        <f t="shared" si="17"/>
        <v>0.12420268083386876</v>
      </c>
      <c r="GK55" s="51">
        <v>51</v>
      </c>
      <c r="GL55" s="51">
        <f t="shared" si="5"/>
        <v>3.2044245066615891</v>
      </c>
      <c r="GM55" s="51">
        <f>($M$66/2000)*SIN(GL55)+($M$66/2000)</f>
        <v>0.23430237011767166</v>
      </c>
      <c r="GN55" s="51">
        <f>($M$66/2000)*COS(GL55)+$M$66/2000</f>
        <v>4.9331789293211026E-4</v>
      </c>
      <c r="GQ55" s="51">
        <f>IF($M$65="Hexagon",FZ55,IF(OR($M$65="Kerbdrain150",$M$65="Kerbdrain280"),GF55,IF(OR($M$65="Channel100",$M$65="Channel150",$M$65="Channel200",$M$65="Channel430"),GB55,IF(AND($M$65="Oval",$CL$11=0.15),GM55,IF(AND($M$65="Oval",$CL$11=0.225),GM55,IF(AND($M$65="Oval",$CL$11=0.35),GM55,IF(AND($M$65="Oval",$CL$11=0.55),GM55,IF(AND($M$65="Oval",$CL$11=0.7),GI55,IF(AND($M$65="Oval",$CL$11=0.9),GI55,"")))))))))</f>
        <v>0</v>
      </c>
      <c r="GR55" s="51">
        <f>IF($M$65="Hexagon",GA55,IF(OR($M$65="Kerbdrain150",$M$65="Kerbdrain280"),GG55,IF(OR($M$65="Channel100",$M$65="Channel150",$M$65="Channel200",$M$65="Channel430"),GC55,IF(AND($M$65="Oval",$CL$11=0.15),GN55,IF(AND($M$65="Oval",$CL$11=0.225),GN55,IF(AND($M$65="Oval",$CL$11=0.35),GN55,IF(AND($M$65="Oval",$CL$11=0.55),GN55,IF(AND($M$65="Oval",$CL$11=0.7),GJ55,IF(AND($M$65="Oval",$CL$11=0.9),GJ55,"")))))))))</f>
        <v>0</v>
      </c>
      <c r="GU55" s="51">
        <f>IF(MAX(GQ$5:GR$104)&lt;0.5,GQ55*2,GQ55)</f>
        <v>0</v>
      </c>
      <c r="GV55" s="51">
        <f>IF(MAX(GQ$5:GR$104)&lt;0.5,GR55*2,GR55)</f>
        <v>0</v>
      </c>
      <c r="GY55" s="51">
        <f>IF(AND(GU55=0,GV55=0),GY54,GU55+(0.5*(1-MAX(GU$5:GU$104))))</f>
        <v>0.5</v>
      </c>
      <c r="GZ55" s="51">
        <f>IF(AND(GU55=0,GV55=0),GZ54,GV55+(0.5*(1-MAX(GV$5:GV$104))))</f>
        <v>0.21600000000000003</v>
      </c>
    </row>
    <row r="56" spans="2:208" ht="15.75" thickBot="1">
      <c r="B56" s="152"/>
      <c r="C56" s="153"/>
      <c r="D56" s="153"/>
      <c r="E56" s="153"/>
      <c r="F56" s="154"/>
      <c r="G56" s="105" t="s">
        <v>8</v>
      </c>
      <c r="H56" s="106"/>
      <c r="I56" s="106"/>
      <c r="J56" s="106"/>
      <c r="K56" s="106"/>
      <c r="L56" s="107"/>
      <c r="M56" s="108">
        <v>2</v>
      </c>
      <c r="N56" s="109"/>
      <c r="O56" s="109"/>
      <c r="P56" s="109"/>
      <c r="Q56" s="109"/>
      <c r="R56" s="109"/>
      <c r="S56" s="110"/>
      <c r="T56" s="111" t="s">
        <v>9</v>
      </c>
      <c r="U56" s="105"/>
      <c r="V56" s="105"/>
      <c r="W56" s="105"/>
      <c r="X56" s="105"/>
      <c r="Y56" s="112"/>
      <c r="Z56" s="113" t="s">
        <v>10</v>
      </c>
      <c r="AA56" s="114"/>
      <c r="AB56" s="114"/>
      <c r="AC56" s="114"/>
      <c r="AD56" s="114"/>
      <c r="AE56" s="115"/>
      <c r="AF56" s="116" t="s">
        <v>10</v>
      </c>
      <c r="AG56" s="114"/>
      <c r="AH56" s="114"/>
      <c r="AI56" s="114"/>
      <c r="AJ56" s="117"/>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29" t="s">
        <v>73</v>
      </c>
      <c r="CI56" s="53" t="s">
        <v>74</v>
      </c>
      <c r="CJ56" s="56">
        <f>IF(CJ55="N/A","N/A",HLOOKUP(M$65,CQ$13:CX$19,5,FALSE))</f>
        <v>0.45200000000000001</v>
      </c>
      <c r="CK56" s="29" t="s">
        <v>1</v>
      </c>
      <c r="CM56" s="29">
        <v>275</v>
      </c>
      <c r="CN56" s="29">
        <v>0.27500000000000002</v>
      </c>
      <c r="CO56" s="29">
        <f t="shared" si="33"/>
        <v>6.9300000000000014E-2</v>
      </c>
      <c r="EG56" s="29">
        <v>0.3</v>
      </c>
      <c r="EH56" s="29">
        <v>10</v>
      </c>
      <c r="EI56" s="29">
        <v>75.8</v>
      </c>
      <c r="EJ56" s="29">
        <v>56.5</v>
      </c>
      <c r="EK56" s="29">
        <v>46.2</v>
      </c>
      <c r="EL56" s="29">
        <v>31.2</v>
      </c>
      <c r="EM56" s="29">
        <v>24.4</v>
      </c>
      <c r="EN56" s="29">
        <v>20.399999999999999</v>
      </c>
      <c r="EO56" s="29">
        <v>13</v>
      </c>
      <c r="EP56" s="29">
        <v>8.1</v>
      </c>
      <c r="EQ56" s="29">
        <v>5</v>
      </c>
      <c r="EW56" s="29">
        <f t="shared" si="10"/>
        <v>2.8020456318544884E-4</v>
      </c>
      <c r="EX56" s="29">
        <f t="shared" si="11"/>
        <v>0.13308374622683755</v>
      </c>
      <c r="FF56" s="29">
        <v>52</v>
      </c>
      <c r="FG56" s="29">
        <f t="shared" si="0"/>
        <v>3.267256359733385</v>
      </c>
      <c r="FH56" s="29">
        <f>($P$20/2000)*SIN(FG56)+($P$20/2000)</f>
        <v>0.21866669160892394</v>
      </c>
      <c r="FI56" s="29">
        <f>($P$20/2000)*COS(FG56)+$P$20/2000</f>
        <v>1.971324671380531E-3</v>
      </c>
      <c r="FL56" s="29">
        <f>IF($P$19="Hexagon",EU56,IF(OR($P$19="Kerbdrain150",$P$19="Kerbdrain280"),FA56,IF(OR($P$19="Channel100",$P$19="Channel150",$P$19="Channel200",$P$19="Channel430"),EW56,IF(AND($P$19="Oval",$CJ$11=0.15),FH56,IF(AND($P$19="Oval",$CJ$11=0.225),FH56,IF(AND($P$19="Oval",$CJ$11=0.35),FH56,IF(AND($P$19="Oval",$CJ$11=0.55),FH56,IF(AND($P$19="Oval",$CJ$11=0.7),FD56,IF(AND($P$19="Oval",$CJ$11=0.9),FD56,"")))))))))</f>
        <v>0</v>
      </c>
      <c r="FM56" s="29">
        <f>IF($P$19="Hexagon",EV56,IF(OR($P$19="Kerbdrain150",$P$19="Kerbdrain280"),FB56,IF(OR($P$19="Channel100",$P$19="Channel150",$P$19="Channel200",$P$19="Channel430"),EX56,IF(AND($P$19="Oval",$CJ$11=0.15),FI56,IF(AND($P$19="Oval",$CJ$11=0.225),FI56,IF(AND($P$19="Oval",$CJ$11=0.35),FI56,IF(AND($P$19="Oval",$CJ$11=0.55),FI56,IF(AND($P$19="Oval",$CJ$11=0.7),FE56,IF(AND($P$19="Oval",$CJ$11=0.9),FE56,"")))))))))</f>
        <v>0</v>
      </c>
      <c r="FP56" s="29">
        <f>IF(MAX(FL$5:FM$104)&lt;0.5,FL56*2,FL56)</f>
        <v>0</v>
      </c>
      <c r="FQ56" s="29">
        <f>IF(MAX(FL$5:FM$104)&lt;0.5,FM56*2,FM56)</f>
        <v>0</v>
      </c>
      <c r="FT56" s="29">
        <f>IF(AND(FP56=0,FQ56=0),FT55,FP56+(0.5*(1-MAX(FP$5:FP$104))))</f>
        <v>0.5</v>
      </c>
      <c r="FU56" s="29">
        <f>IF(AND(FP56=0,FQ56=0),FU55,FQ56+(0.5*(1-MAX(FQ$5:FQ$104))))</f>
        <v>0.21600000000000003</v>
      </c>
      <c r="GB56" s="51">
        <f t="shared" si="16"/>
        <v>2.8020456318544884E-4</v>
      </c>
      <c r="GC56" s="51">
        <f t="shared" si="17"/>
        <v>0.13308374622683755</v>
      </c>
      <c r="GK56" s="51">
        <v>52</v>
      </c>
      <c r="GL56" s="51">
        <f t="shared" si="5"/>
        <v>3.267256359733385</v>
      </c>
      <c r="GM56" s="51">
        <f>($M$66/2000)*SIN(GL56)+($M$66/2000)</f>
        <v>0.21866669160892394</v>
      </c>
      <c r="GN56" s="51">
        <f>($M$66/2000)*COS(GL56)+$M$66/2000</f>
        <v>1.971324671380531E-3</v>
      </c>
      <c r="GQ56" s="51">
        <f>IF($M$65="Hexagon",FZ56,IF(OR($M$65="Kerbdrain150",$M$65="Kerbdrain280"),GF56,IF(OR($M$65="Channel100",$M$65="Channel150",$M$65="Channel200",$M$65="Channel430"),GB56,IF(AND($M$65="Oval",$CL$11=0.15),GM56,IF(AND($M$65="Oval",$CL$11=0.225),GM56,IF(AND($M$65="Oval",$CL$11=0.35),GM56,IF(AND($M$65="Oval",$CL$11=0.55),GM56,IF(AND($M$65="Oval",$CL$11=0.7),GI56,IF(AND($M$65="Oval",$CL$11=0.9),GI56,"")))))))))</f>
        <v>0</v>
      </c>
      <c r="GR56" s="51">
        <f>IF($M$65="Hexagon",GA56,IF(OR($M$65="Kerbdrain150",$M$65="Kerbdrain280"),GG56,IF(OR($M$65="Channel100",$M$65="Channel150",$M$65="Channel200",$M$65="Channel430"),GC56,IF(AND($M$65="Oval",$CL$11=0.15),GN56,IF(AND($M$65="Oval",$CL$11=0.225),GN56,IF(AND($M$65="Oval",$CL$11=0.35),GN56,IF(AND($M$65="Oval",$CL$11=0.55),GN56,IF(AND($M$65="Oval",$CL$11=0.7),GJ56,IF(AND($M$65="Oval",$CL$11=0.9),GJ56,"")))))))))</f>
        <v>0</v>
      </c>
      <c r="GU56" s="51">
        <f>IF(MAX(GQ$5:GR$104)&lt;0.5,GQ56*2,GQ56)</f>
        <v>0</v>
      </c>
      <c r="GV56" s="51">
        <f>IF(MAX(GQ$5:GR$104)&lt;0.5,GR56*2,GR56)</f>
        <v>0</v>
      </c>
      <c r="GY56" s="51">
        <f>IF(AND(GU56=0,GV56=0),GY55,GU56+(0.5*(1-MAX(GU$5:GU$104))))</f>
        <v>0.5</v>
      </c>
      <c r="GZ56" s="51">
        <f>IF(AND(GU56=0,GV56=0),GZ55,GV56+(0.5*(1-MAX(GV$5:GV$104))))</f>
        <v>0.21600000000000003</v>
      </c>
    </row>
    <row r="57" spans="2:208">
      <c r="B57" s="2"/>
      <c r="C57" s="3"/>
      <c r="D57" s="3"/>
      <c r="E57" s="3"/>
      <c r="F57" s="4"/>
      <c r="G57" s="70"/>
      <c r="H57" s="37"/>
      <c r="I57" s="37"/>
      <c r="J57" s="37"/>
      <c r="K57" s="37"/>
      <c r="L57" s="37"/>
      <c r="M57" s="37"/>
      <c r="N57" s="37"/>
      <c r="O57" s="37"/>
      <c r="P57" s="37"/>
      <c r="Q57" s="37"/>
      <c r="R57" s="37"/>
      <c r="S57" s="37"/>
      <c r="T57" s="37"/>
      <c r="U57" s="41"/>
      <c r="V57" s="41"/>
      <c r="W57" s="41"/>
      <c r="X57" s="41"/>
      <c r="Y57" s="41"/>
      <c r="Z57" s="41"/>
      <c r="AA57" s="41"/>
      <c r="AB57" s="41"/>
      <c r="AC57" s="41"/>
      <c r="AD57" s="41"/>
      <c r="AE57" s="67"/>
      <c r="AF57" s="42"/>
      <c r="AG57" s="41"/>
      <c r="AH57" s="41"/>
      <c r="AI57" s="41"/>
      <c r="AJ57" s="43"/>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33"/>
      <c r="CH57" s="29" t="s">
        <v>20</v>
      </c>
      <c r="CI57" s="53" t="s">
        <v>75</v>
      </c>
      <c r="CJ57" s="56">
        <f>IF(CJ55="N/A","N/A",HLOOKUP(M$65,CQ$21:CX$27,5,FALSE))</f>
        <v>0.138296</v>
      </c>
      <c r="CK57" s="29" t="s">
        <v>48</v>
      </c>
      <c r="CM57" s="29">
        <v>555</v>
      </c>
      <c r="CN57" s="29">
        <v>0.55500000000000005</v>
      </c>
      <c r="CO57" s="29">
        <f t="shared" si="33"/>
        <v>0.13986000000000004</v>
      </c>
      <c r="EG57" s="29"/>
      <c r="EH57" s="29">
        <v>15</v>
      </c>
      <c r="EI57" s="29">
        <v>81.8</v>
      </c>
      <c r="EJ57" s="29">
        <v>61.3</v>
      </c>
      <c r="EK57" s="29">
        <v>50.2</v>
      </c>
      <c r="EL57" s="29">
        <v>34.1</v>
      </c>
      <c r="EM57" s="29">
        <v>26.7</v>
      </c>
      <c r="EN57" s="29">
        <v>22.3</v>
      </c>
      <c r="EO57" s="29">
        <v>14.2</v>
      </c>
      <c r="EP57" s="29">
        <v>8.9</v>
      </c>
      <c r="EQ57" s="29">
        <v>5</v>
      </c>
      <c r="EW57" s="29">
        <f t="shared" si="10"/>
        <v>0</v>
      </c>
      <c r="EX57" s="29">
        <f t="shared" si="11"/>
        <v>0.14199999999999999</v>
      </c>
      <c r="FF57" s="29">
        <v>53</v>
      </c>
      <c r="FG57" s="29">
        <f t="shared" si="0"/>
        <v>3.330088212805181</v>
      </c>
      <c r="FH57" s="29">
        <f>($P$20/2000)*SIN(FG57)+($P$20/2000)</f>
        <v>0.20315467135356879</v>
      </c>
      <c r="FI57" s="29">
        <f>($P$20/2000)*COS(FG57)+$P$20/2000</f>
        <v>4.4281873178278475E-3</v>
      </c>
      <c r="FL57" s="29">
        <f>IF($P$19="Hexagon",EU57,IF(OR($P$19="Kerbdrain150",$P$19="Kerbdrain280"),FA57,IF(OR($P$19="Channel100",$P$19="Channel150",$P$19="Channel200",$P$19="Channel430"),EW57,IF(AND($P$19="Oval",$CJ$11=0.15),FH57,IF(AND($P$19="Oval",$CJ$11=0.225),FH57,IF(AND($P$19="Oval",$CJ$11=0.35),FH57,IF(AND($P$19="Oval",$CJ$11=0.55),FH57,IF(AND($P$19="Oval",$CJ$11=0.7),FD57,IF(AND($P$19="Oval",$CJ$11=0.9),FD57,"")))))))))</f>
        <v>0</v>
      </c>
      <c r="FM57" s="29">
        <f>IF($P$19="Hexagon",EV57,IF(OR($P$19="Kerbdrain150",$P$19="Kerbdrain280"),FB57,IF(OR($P$19="Channel100",$P$19="Channel150",$P$19="Channel200",$P$19="Channel430"),EX57,IF(AND($P$19="Oval",$CJ$11=0.15),FI57,IF(AND($P$19="Oval",$CJ$11=0.225),FI57,IF(AND($P$19="Oval",$CJ$11=0.35),FI57,IF(AND($P$19="Oval",$CJ$11=0.55),FI57,IF(AND($P$19="Oval",$CJ$11=0.7),FE57,IF(AND($P$19="Oval",$CJ$11=0.9),FE57,"")))))))))</f>
        <v>0</v>
      </c>
      <c r="FP57" s="29">
        <f>IF(MAX(FL$5:FM$104)&lt;0.5,FL57*2,FL57)</f>
        <v>0</v>
      </c>
      <c r="FQ57" s="29">
        <f>IF(MAX(FL$5:FM$104)&lt;0.5,FM57*2,FM57)</f>
        <v>0</v>
      </c>
      <c r="FT57" s="29">
        <f>IF(AND(FP57=0,FQ57=0),FT56,FP57+(0.5*(1-MAX(FP$5:FP$104))))</f>
        <v>0.5</v>
      </c>
      <c r="FU57" s="29">
        <f>IF(AND(FP57=0,FQ57=0),FU56,FQ57+(0.5*(1-MAX(FQ$5:FQ$104))))</f>
        <v>0.21600000000000003</v>
      </c>
      <c r="GB57" s="51">
        <f t="shared" si="16"/>
        <v>0</v>
      </c>
      <c r="GC57" s="51">
        <f t="shared" si="17"/>
        <v>0.14199999999999999</v>
      </c>
      <c r="GK57" s="51">
        <v>53</v>
      </c>
      <c r="GL57" s="51">
        <f t="shared" si="5"/>
        <v>3.330088212805181</v>
      </c>
      <c r="GM57" s="51">
        <f>($M$66/2000)*SIN(GL57)+($M$66/2000)</f>
        <v>0.20315467135356879</v>
      </c>
      <c r="GN57" s="51">
        <f>($M$66/2000)*COS(GL57)+$M$66/2000</f>
        <v>4.4281873178278475E-3</v>
      </c>
      <c r="GQ57" s="51">
        <f>IF($M$65="Hexagon",FZ57,IF(OR($M$65="Kerbdrain150",$M$65="Kerbdrain280"),GF57,IF(OR($M$65="Channel100",$M$65="Channel150",$M$65="Channel200",$M$65="Channel430"),GB57,IF(AND($M$65="Oval",$CL$11=0.15),GM57,IF(AND($M$65="Oval",$CL$11=0.225),GM57,IF(AND($M$65="Oval",$CL$11=0.35),GM57,IF(AND($M$65="Oval",$CL$11=0.55),GM57,IF(AND($M$65="Oval",$CL$11=0.7),GI57,IF(AND($M$65="Oval",$CL$11=0.9),GI57,"")))))))))</f>
        <v>0</v>
      </c>
      <c r="GR57" s="51">
        <f>IF($M$65="Hexagon",GA57,IF(OR($M$65="Kerbdrain150",$M$65="Kerbdrain280"),GG57,IF(OR($M$65="Channel100",$M$65="Channel150",$M$65="Channel200",$M$65="Channel430"),GC57,IF(AND($M$65="Oval",$CL$11=0.15),GN57,IF(AND($M$65="Oval",$CL$11=0.225),GN57,IF(AND($M$65="Oval",$CL$11=0.35),GN57,IF(AND($M$65="Oval",$CL$11=0.55),GN57,IF(AND($M$65="Oval",$CL$11=0.7),GJ57,IF(AND($M$65="Oval",$CL$11=0.9),GJ57,"")))))))))</f>
        <v>0</v>
      </c>
      <c r="GU57" s="51">
        <f>IF(MAX(GQ$5:GR$104)&lt;0.5,GQ57*2,GQ57)</f>
        <v>0</v>
      </c>
      <c r="GV57" s="51">
        <f>IF(MAX(GQ$5:GR$104)&lt;0.5,GR57*2,GR57)</f>
        <v>0</v>
      </c>
      <c r="GY57" s="51">
        <f>IF(AND(GU57=0,GV57=0),GY56,GU57+(0.5*(1-MAX(GU$5:GU$104))))</f>
        <v>0.5</v>
      </c>
      <c r="GZ57" s="51">
        <f>IF(AND(GU57=0,GV57=0),GZ56,GV57+(0.5*(1-MAX(GV$5:GV$104))))</f>
        <v>0.21600000000000003</v>
      </c>
    </row>
    <row r="58" spans="2:208">
      <c r="B58" s="9"/>
      <c r="C58" s="10"/>
      <c r="D58" s="10"/>
      <c r="E58" s="10"/>
      <c r="F58" s="11"/>
      <c r="G58" s="70"/>
      <c r="H58" s="135" t="s">
        <v>115</v>
      </c>
      <c r="I58" s="136"/>
      <c r="J58" s="136"/>
      <c r="K58" s="136"/>
      <c r="L58" s="136"/>
      <c r="M58" s="136"/>
      <c r="N58" s="136"/>
      <c r="O58" s="136"/>
      <c r="P58" s="136"/>
      <c r="Q58" s="136"/>
      <c r="R58" s="136"/>
      <c r="S58" s="137"/>
      <c r="T58" s="37"/>
      <c r="U58" s="125" t="s">
        <v>112</v>
      </c>
      <c r="V58" s="136"/>
      <c r="W58" s="136"/>
      <c r="X58" s="136"/>
      <c r="Y58" s="136"/>
      <c r="Z58" s="136"/>
      <c r="AA58" s="136"/>
      <c r="AB58" s="136"/>
      <c r="AC58" s="136"/>
      <c r="AD58" s="136"/>
      <c r="AE58" s="170"/>
      <c r="AF58" s="42"/>
      <c r="AG58" s="41"/>
      <c r="AH58" s="41"/>
      <c r="AI58" s="41"/>
      <c r="AJ58" s="43"/>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33"/>
      <c r="CI58" s="53" t="s">
        <v>19</v>
      </c>
      <c r="CJ58" s="49">
        <v>17</v>
      </c>
      <c r="EG58" s="29"/>
      <c r="EH58" s="29">
        <v>20</v>
      </c>
      <c r="EI58" s="29">
        <v>86.4</v>
      </c>
      <c r="EJ58" s="29">
        <v>64.900000000000006</v>
      </c>
      <c r="EK58" s="29">
        <v>53.3</v>
      </c>
      <c r="EL58" s="29">
        <v>36.299999999999997</v>
      </c>
      <c r="EM58" s="29">
        <v>28.5</v>
      </c>
      <c r="EN58" s="29">
        <v>23.8</v>
      </c>
      <c r="EO58" s="29">
        <v>15.2</v>
      </c>
      <c r="EP58" s="29">
        <v>9.5</v>
      </c>
      <c r="EQ58" s="29">
        <v>6</v>
      </c>
      <c r="EW58" s="29">
        <v>0</v>
      </c>
      <c r="EX58" s="29">
        <f>EX5</f>
        <v>0.42599999999999993</v>
      </c>
      <c r="FF58" s="29">
        <v>54</v>
      </c>
      <c r="FG58" s="29">
        <f t="shared" si="0"/>
        <v>3.3929200658769769</v>
      </c>
      <c r="FH58" s="29">
        <f>($P$20/2000)*SIN(FG58)+($P$20/2000)</f>
        <v>0.18782752820878623</v>
      </c>
      <c r="FI58" s="29">
        <f>($P$20/2000)*COS(FG58)+$P$20/2000</f>
        <v>7.854209717842231E-3</v>
      </c>
      <c r="FL58" s="29">
        <f>IF($P$19="Hexagon",EU58,IF(OR($P$19="Kerbdrain150",$P$19="Kerbdrain280"),FA58,IF(OR($P$19="Channel100",$P$19="Channel150",$P$19="Channel200",$P$19="Channel430"),EW58,IF(AND($P$19="Oval",$CJ$11=0.15),FH58,IF(AND($P$19="Oval",$CJ$11=0.225),FH58,IF(AND($P$19="Oval",$CJ$11=0.35),FH58,IF(AND($P$19="Oval",$CJ$11=0.55),FH58,IF(AND($P$19="Oval",$CJ$11=0.7),FD58,IF(AND($P$19="Oval",$CJ$11=0.9),FD58,"")))))))))</f>
        <v>0</v>
      </c>
      <c r="FM58" s="29">
        <f>IF($P$19="Hexagon",EV58,IF(OR($P$19="Kerbdrain150",$P$19="Kerbdrain280"),FB58,IF(OR($P$19="Channel100",$P$19="Channel150",$P$19="Channel200",$P$19="Channel430"),EX58,IF(AND($P$19="Oval",$CJ$11=0.15),FI58,IF(AND($P$19="Oval",$CJ$11=0.225),FI58,IF(AND($P$19="Oval",$CJ$11=0.35),FI58,IF(AND($P$19="Oval",$CJ$11=0.55),FI58,IF(AND($P$19="Oval",$CJ$11=0.7),FE58,IF(AND($P$19="Oval",$CJ$11=0.9),FE58,"")))))))))</f>
        <v>0</v>
      </c>
      <c r="FP58" s="29">
        <f>IF(MAX(FL$5:FM$104)&lt;0.5,FL58*2,FL58)</f>
        <v>0</v>
      </c>
      <c r="FQ58" s="29">
        <f>IF(MAX(FL$5:FM$104)&lt;0.5,FM58*2,FM58)</f>
        <v>0</v>
      </c>
      <c r="FT58" s="29">
        <f>IF(AND(FP58=0,FQ58=0),FT57,FP58+(0.5*(1-MAX(FP$5:FP$104))))</f>
        <v>0.5</v>
      </c>
      <c r="FU58" s="29">
        <f>IF(AND(FP58=0,FQ58=0),FU57,FQ58+(0.5*(1-MAX(FQ$5:FQ$104))))</f>
        <v>0.21600000000000003</v>
      </c>
      <c r="GB58" s="51">
        <v>0</v>
      </c>
      <c r="GC58" s="51">
        <f>GC5</f>
        <v>0.42599999999999993</v>
      </c>
      <c r="GK58" s="51">
        <v>54</v>
      </c>
      <c r="GL58" s="51">
        <f t="shared" si="5"/>
        <v>3.3929200658769769</v>
      </c>
      <c r="GM58" s="51">
        <f>($M$66/2000)*SIN(GL58)+($M$66/2000)</f>
        <v>0.18782752820878623</v>
      </c>
      <c r="GN58" s="51">
        <f>($M$66/2000)*COS(GL58)+$M$66/2000</f>
        <v>7.854209717842231E-3</v>
      </c>
      <c r="GQ58" s="51">
        <f>IF($M$65="Hexagon",FZ58,IF(OR($M$65="Kerbdrain150",$M$65="Kerbdrain280"),GF58,IF(OR($M$65="Channel100",$M$65="Channel150",$M$65="Channel200",$M$65="Channel430"),GB58,IF(AND($M$65="Oval",$CL$11=0.15),GM58,IF(AND($M$65="Oval",$CL$11=0.225),GM58,IF(AND($M$65="Oval",$CL$11=0.35),GM58,IF(AND($M$65="Oval",$CL$11=0.55),GM58,IF(AND($M$65="Oval",$CL$11=0.7),GI58,IF(AND($M$65="Oval",$CL$11=0.9),GI58,"")))))))))</f>
        <v>0</v>
      </c>
      <c r="GR58" s="51">
        <f>IF($M$65="Hexagon",GA58,IF(OR($M$65="Kerbdrain150",$M$65="Kerbdrain280"),GG58,IF(OR($M$65="Channel100",$M$65="Channel150",$M$65="Channel200",$M$65="Channel430"),GC58,IF(AND($M$65="Oval",$CL$11=0.15),GN58,IF(AND($M$65="Oval",$CL$11=0.225),GN58,IF(AND($M$65="Oval",$CL$11=0.35),GN58,IF(AND($M$65="Oval",$CL$11=0.55),GN58,IF(AND($M$65="Oval",$CL$11=0.7),GJ58,IF(AND($M$65="Oval",$CL$11=0.9),GJ58,"")))))))))</f>
        <v>0</v>
      </c>
      <c r="GU58" s="51">
        <f>IF(MAX(GQ$5:GR$104)&lt;0.5,GQ58*2,GQ58)</f>
        <v>0</v>
      </c>
      <c r="GV58" s="51">
        <f>IF(MAX(GQ$5:GR$104)&lt;0.5,GR58*2,GR58)</f>
        <v>0</v>
      </c>
      <c r="GY58" s="51">
        <f>IF(AND(GU58=0,GV58=0),GY57,GU58+(0.5*(1-MAX(GU$5:GU$104))))</f>
        <v>0.5</v>
      </c>
      <c r="GZ58" s="51">
        <f>IF(AND(GU58=0,GV58=0),GZ57,GV58+(0.5*(1-MAX(GV$5:GV$104))))</f>
        <v>0.21600000000000003</v>
      </c>
    </row>
    <row r="59" spans="2:208" ht="15.75" thickBot="1">
      <c r="B59" s="9"/>
      <c r="C59" s="10"/>
      <c r="D59" s="10"/>
      <c r="E59" s="10"/>
      <c r="F59" s="11"/>
      <c r="G59" s="70"/>
      <c r="H59" s="37"/>
      <c r="I59" s="37"/>
      <c r="J59" s="37"/>
      <c r="K59" s="37"/>
      <c r="L59" s="37"/>
      <c r="M59" s="37"/>
      <c r="N59" s="37"/>
      <c r="O59" s="37"/>
      <c r="P59" s="37"/>
      <c r="Q59" s="37"/>
      <c r="R59" s="37"/>
      <c r="S59" s="37"/>
      <c r="T59" s="37"/>
      <c r="U59" s="41"/>
      <c r="V59" s="41"/>
      <c r="W59" s="41"/>
      <c r="X59" s="41"/>
      <c r="Y59" s="41"/>
      <c r="Z59" s="41"/>
      <c r="AA59" s="41"/>
      <c r="AB59" s="41"/>
      <c r="AC59" s="41"/>
      <c r="AD59" s="41"/>
      <c r="AE59" s="67"/>
      <c r="AF59" s="42"/>
      <c r="AG59" s="41"/>
      <c r="AH59" s="41"/>
      <c r="AI59" s="41"/>
      <c r="AJ59" s="43"/>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33"/>
      <c r="CI59" s="53" t="s">
        <v>94</v>
      </c>
      <c r="CJ59" s="51">
        <f>IF(CJ55="N/A","N/A",SUM(CJ$32+CJ$40+CJ$49+CJ$58))</f>
        <v>59</v>
      </c>
      <c r="EG59" s="29"/>
      <c r="EH59" s="29">
        <v>25</v>
      </c>
      <c r="EI59" s="29">
        <v>90.1</v>
      </c>
      <c r="EJ59" s="29">
        <v>67.900000000000006</v>
      </c>
      <c r="EK59" s="29">
        <v>55.9</v>
      </c>
      <c r="EL59" s="29">
        <v>38.1</v>
      </c>
      <c r="EM59" s="29">
        <v>29.9</v>
      </c>
      <c r="EN59" s="29">
        <v>25</v>
      </c>
      <c r="EO59" s="29">
        <v>16</v>
      </c>
      <c r="EP59" s="29">
        <v>10</v>
      </c>
      <c r="EQ59" s="29">
        <v>6</v>
      </c>
      <c r="EW59" s="29">
        <f>EW5</f>
        <v>0.28400000000000003</v>
      </c>
      <c r="EX59" s="29">
        <f>EX5</f>
        <v>0.42599999999999993</v>
      </c>
      <c r="FF59" s="29">
        <v>55</v>
      </c>
      <c r="FG59" s="29">
        <f t="shared" si="0"/>
        <v>3.4557519189487729</v>
      </c>
      <c r="FH59" s="29">
        <f>($P$20/2000)*SIN(FG59)+($P$20/2000)</f>
        <v>0.17274575140626308</v>
      </c>
      <c r="FI59" s="29">
        <f>($P$20/2000)*COS(FG59)+$P$20/2000</f>
        <v>1.2235870926211617E-2</v>
      </c>
      <c r="FL59" s="29">
        <f>IF($P$19="Hexagon",EU59,IF(OR($P$19="Kerbdrain150",$P$19="Kerbdrain280"),FA59,IF(OR($P$19="Channel100",$P$19="Channel150",$P$19="Channel200",$P$19="Channel430"),EW59,IF(AND($P$19="Oval",$CJ$11=0.15),FH59,IF(AND($P$19="Oval",$CJ$11=0.225),FH59,IF(AND($P$19="Oval",$CJ$11=0.35),FH59,IF(AND($P$19="Oval",$CJ$11=0.55),FH59,IF(AND($P$19="Oval",$CJ$11=0.7),FD59,IF(AND($P$19="Oval",$CJ$11=0.9),FD59,"")))))))))</f>
        <v>0</v>
      </c>
      <c r="FM59" s="29">
        <f>IF($P$19="Hexagon",EV59,IF(OR($P$19="Kerbdrain150",$P$19="Kerbdrain280"),FB59,IF(OR($P$19="Channel100",$P$19="Channel150",$P$19="Channel200",$P$19="Channel430"),EX59,IF(AND($P$19="Oval",$CJ$11=0.15),FI59,IF(AND($P$19="Oval",$CJ$11=0.225),FI59,IF(AND($P$19="Oval",$CJ$11=0.35),FI59,IF(AND($P$19="Oval",$CJ$11=0.55),FI59,IF(AND($P$19="Oval",$CJ$11=0.7),FE59,IF(AND($P$19="Oval",$CJ$11=0.9),FE59,"")))))))))</f>
        <v>0</v>
      </c>
      <c r="FP59" s="29">
        <f>IF(MAX(FL$5:FM$104)&lt;0.5,FL59*2,FL59)</f>
        <v>0</v>
      </c>
      <c r="FQ59" s="29">
        <f>IF(MAX(FL$5:FM$104)&lt;0.5,FM59*2,FM59)</f>
        <v>0</v>
      </c>
      <c r="FT59" s="29">
        <f>IF(AND(FP59=0,FQ59=0),FT58,FP59+(0.5*(1-MAX(FP$5:FP$104))))</f>
        <v>0.5</v>
      </c>
      <c r="FU59" s="29">
        <f>IF(AND(FP59=0,FQ59=0),FU58,FQ59+(0.5*(1-MAX(FQ$5:FQ$104))))</f>
        <v>0.21600000000000003</v>
      </c>
      <c r="GB59" s="51">
        <f>GB5</f>
        <v>0.28400000000000003</v>
      </c>
      <c r="GC59" s="51">
        <f>GC5</f>
        <v>0.42599999999999993</v>
      </c>
      <c r="GK59" s="51">
        <v>55</v>
      </c>
      <c r="GL59" s="51">
        <f t="shared" si="5"/>
        <v>3.4557519189487729</v>
      </c>
      <c r="GM59" s="51">
        <f>($M$66/2000)*SIN(GL59)+($M$66/2000)</f>
        <v>0.17274575140626308</v>
      </c>
      <c r="GN59" s="51">
        <f>($M$66/2000)*COS(GL59)+$M$66/2000</f>
        <v>1.2235870926211617E-2</v>
      </c>
      <c r="GQ59" s="51">
        <f>IF($M$65="Hexagon",FZ59,IF(OR($M$65="Kerbdrain150",$M$65="Kerbdrain280"),GF59,IF(OR($M$65="Channel100",$M$65="Channel150",$M$65="Channel200",$M$65="Channel430"),GB59,IF(AND($M$65="Oval",$CL$11=0.15),GM59,IF(AND($M$65="Oval",$CL$11=0.225),GM59,IF(AND($M$65="Oval",$CL$11=0.35),GM59,IF(AND($M$65="Oval",$CL$11=0.55),GM59,IF(AND($M$65="Oval",$CL$11=0.7),GI59,IF(AND($M$65="Oval",$CL$11=0.9),GI59,"")))))))))</f>
        <v>0</v>
      </c>
      <c r="GR59" s="51">
        <f>IF($M$65="Hexagon",GA59,IF(OR($M$65="Kerbdrain150",$M$65="Kerbdrain280"),GG59,IF(OR($M$65="Channel100",$M$65="Channel150",$M$65="Channel200",$M$65="Channel430"),GC59,IF(AND($M$65="Oval",$CL$11=0.15),GN59,IF(AND($M$65="Oval",$CL$11=0.225),GN59,IF(AND($M$65="Oval",$CL$11=0.35),GN59,IF(AND($M$65="Oval",$CL$11=0.55),GN59,IF(AND($M$65="Oval",$CL$11=0.7),GJ59,IF(AND($M$65="Oval",$CL$11=0.9),GJ59,"")))))))))</f>
        <v>0</v>
      </c>
      <c r="GU59" s="51">
        <f>IF(MAX(GQ$5:GR$104)&lt;0.5,GQ59*2,GQ59)</f>
        <v>0</v>
      </c>
      <c r="GV59" s="51">
        <f>IF(MAX(GQ$5:GR$104)&lt;0.5,GR59*2,GR59)</f>
        <v>0</v>
      </c>
      <c r="GY59" s="51">
        <f>IF(AND(GU59=0,GV59=0),GY58,GU59+(0.5*(1-MAX(GU$5:GU$104))))</f>
        <v>0.5</v>
      </c>
      <c r="GZ59" s="51">
        <f>IF(AND(GU59=0,GV59=0),GZ58,GV59+(0.5*(1-MAX(GV$5:GV$104))))</f>
        <v>0.21600000000000003</v>
      </c>
    </row>
    <row r="60" spans="2:208" ht="15.75" thickBot="1">
      <c r="B60" s="9"/>
      <c r="C60" s="10"/>
      <c r="D60" s="10"/>
      <c r="E60" s="10"/>
      <c r="F60" s="11"/>
      <c r="G60" s="70"/>
      <c r="H60" s="90" t="s">
        <v>102</v>
      </c>
      <c r="I60" s="88"/>
      <c r="J60" s="88"/>
      <c r="K60" s="88"/>
      <c r="L60" s="88"/>
      <c r="M60" s="88"/>
      <c r="N60" s="88"/>
      <c r="O60" s="88"/>
      <c r="P60" s="88"/>
      <c r="Q60" s="88"/>
      <c r="R60" s="88"/>
      <c r="S60" s="89"/>
      <c r="T60" s="37"/>
      <c r="U60" s="41"/>
      <c r="V60" s="41"/>
      <c r="W60" s="41"/>
      <c r="X60" s="41"/>
      <c r="Y60" s="41"/>
      <c r="Z60" s="41"/>
      <c r="AA60" s="41"/>
      <c r="AB60" s="41"/>
      <c r="AC60" s="41"/>
      <c r="AD60" s="41"/>
      <c r="AE60" s="67"/>
      <c r="AF60" s="42"/>
      <c r="AG60" s="41"/>
      <c r="AH60" s="41"/>
      <c r="AI60" s="41"/>
      <c r="AJ60" s="43"/>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33"/>
      <c r="CI60" s="53" t="s">
        <v>90</v>
      </c>
      <c r="CJ60" s="29">
        <f>IF(CJ55="N/A","N/A",CJ$27*CJ58+CJ51)</f>
        <v>181.09722222222223</v>
      </c>
      <c r="EG60" s="29"/>
      <c r="EH60" s="29">
        <v>30</v>
      </c>
      <c r="EI60" s="29">
        <v>93.3</v>
      </c>
      <c r="EJ60" s="29">
        <v>70.400000000000006</v>
      </c>
      <c r="EK60" s="29">
        <v>58</v>
      </c>
      <c r="EL60" s="29">
        <v>39.700000000000003</v>
      </c>
      <c r="EM60" s="29">
        <v>31.1</v>
      </c>
      <c r="EN60" s="29">
        <v>26.1</v>
      </c>
      <c r="EO60" s="29">
        <v>16.7</v>
      </c>
      <c r="EP60" s="29">
        <v>10.4</v>
      </c>
      <c r="EQ60" s="29">
        <v>6</v>
      </c>
      <c r="FF60" s="29">
        <v>56</v>
      </c>
      <c r="FG60" s="29">
        <f t="shared" si="0"/>
        <v>3.5185837720205688</v>
      </c>
      <c r="FH60" s="29">
        <f>($P$20/2000)*SIN(FG60)+($P$20/2000)</f>
        <v>0.15796886182883041</v>
      </c>
      <c r="FI60" s="29">
        <f>($P$20/2000)*COS(FG60)+$P$20/2000</f>
        <v>1.7555878527937191E-2</v>
      </c>
      <c r="FL60" s="29">
        <f>IF($P$19="Hexagon",EU60,IF(OR($P$19="Kerbdrain150",$P$19="Kerbdrain280"),FA60,IF(OR($P$19="Channel100",$P$19="Channel150",$P$19="Channel200",$P$19="Channel430"),EW60,IF(AND($P$19="Oval",$CJ$11=0.15),FH60,IF(AND($P$19="Oval",$CJ$11=0.225),FH60,IF(AND($P$19="Oval",$CJ$11=0.35),FH60,IF(AND($P$19="Oval",$CJ$11=0.55),FH60,IF(AND($P$19="Oval",$CJ$11=0.7),FD60,IF(AND($P$19="Oval",$CJ$11=0.9),FD60,"")))))))))</f>
        <v>0</v>
      </c>
      <c r="FM60" s="29">
        <f>IF($P$19="Hexagon",EV60,IF(OR($P$19="Kerbdrain150",$P$19="Kerbdrain280"),FB60,IF(OR($P$19="Channel100",$P$19="Channel150",$P$19="Channel200",$P$19="Channel430"),EX60,IF(AND($P$19="Oval",$CJ$11=0.15),FI60,IF(AND($P$19="Oval",$CJ$11=0.225),FI60,IF(AND($P$19="Oval",$CJ$11=0.35),FI60,IF(AND($P$19="Oval",$CJ$11=0.55),FI60,IF(AND($P$19="Oval",$CJ$11=0.7),FE60,IF(AND($P$19="Oval",$CJ$11=0.9),FE60,"")))))))))</f>
        <v>0</v>
      </c>
      <c r="FP60" s="29">
        <f>IF(MAX(FL$5:FM$104)&lt;0.5,FL60*2,FL60)</f>
        <v>0</v>
      </c>
      <c r="FQ60" s="29">
        <f>IF(MAX(FL$5:FM$104)&lt;0.5,FM60*2,FM60)</f>
        <v>0</v>
      </c>
      <c r="FT60" s="29">
        <f>IF(AND(FP60=0,FQ60=0),FT59,FP60+(0.5*(1-MAX(FP$5:FP$104))))</f>
        <v>0.5</v>
      </c>
      <c r="FU60" s="29">
        <f>IF(AND(FP60=0,FQ60=0),FU59,FQ60+(0.5*(1-MAX(FQ$5:FQ$104))))</f>
        <v>0.21600000000000003</v>
      </c>
      <c r="GK60" s="51">
        <v>56</v>
      </c>
      <c r="GL60" s="51">
        <f t="shared" si="5"/>
        <v>3.5185837720205688</v>
      </c>
      <c r="GM60" s="51">
        <f>($M$66/2000)*SIN(GL60)+($M$66/2000)</f>
        <v>0.15796886182883041</v>
      </c>
      <c r="GN60" s="51">
        <f>($M$66/2000)*COS(GL60)+$M$66/2000</f>
        <v>1.7555878527937191E-2</v>
      </c>
      <c r="GQ60" s="51">
        <f>IF($M$65="Hexagon",FZ60,IF(OR($M$65="Kerbdrain150",$M$65="Kerbdrain280"),GF60,IF(OR($M$65="Channel100",$M$65="Channel150",$M$65="Channel200",$M$65="Channel430"),GB60,IF(AND($M$65="Oval",$CL$11=0.15),GM60,IF(AND($M$65="Oval",$CL$11=0.225),GM60,IF(AND($M$65="Oval",$CL$11=0.35),GM60,IF(AND($M$65="Oval",$CL$11=0.55),GM60,IF(AND($M$65="Oval",$CL$11=0.7),GI60,IF(AND($M$65="Oval",$CL$11=0.9),GI60,"")))))))))</f>
        <v>0</v>
      </c>
      <c r="GR60" s="51">
        <f>IF($M$65="Hexagon",GA60,IF(OR($M$65="Kerbdrain150",$M$65="Kerbdrain280"),GG60,IF(OR($M$65="Channel100",$M$65="Channel150",$M$65="Channel200",$M$65="Channel430"),GC60,IF(AND($M$65="Oval",$CL$11=0.15),GN60,IF(AND($M$65="Oval",$CL$11=0.225),GN60,IF(AND($M$65="Oval",$CL$11=0.35),GN60,IF(AND($M$65="Oval",$CL$11=0.55),GN60,IF(AND($M$65="Oval",$CL$11=0.7),GJ60,IF(AND($M$65="Oval",$CL$11=0.9),GJ60,"")))))))))</f>
        <v>0</v>
      </c>
      <c r="GU60" s="51">
        <f>IF(MAX(GQ$5:GR$104)&lt;0.5,GQ60*2,GQ60)</f>
        <v>0</v>
      </c>
      <c r="GV60" s="51">
        <f>IF(MAX(GQ$5:GR$104)&lt;0.5,GR60*2,GR60)</f>
        <v>0</v>
      </c>
      <c r="GY60" s="51">
        <f>IF(AND(GU60=0,GV60=0),GY59,GU60+(0.5*(1-MAX(GU$5:GU$104))))</f>
        <v>0.5</v>
      </c>
      <c r="GZ60" s="51">
        <f>IF(AND(GU60=0,GV60=0),GZ59,GV60+(0.5*(1-MAX(GV$5:GV$104))))</f>
        <v>0.21600000000000003</v>
      </c>
    </row>
    <row r="61" spans="2:208" ht="15.75" thickBot="1">
      <c r="B61" s="9"/>
      <c r="C61" s="10"/>
      <c r="D61" s="10"/>
      <c r="E61" s="10"/>
      <c r="F61" s="11"/>
      <c r="G61" s="70"/>
      <c r="H61" s="144" t="s">
        <v>103</v>
      </c>
      <c r="I61" s="145"/>
      <c r="J61" s="145"/>
      <c r="K61" s="145"/>
      <c r="L61" s="145"/>
      <c r="M61" s="145"/>
      <c r="N61" s="145"/>
      <c r="O61" s="145"/>
      <c r="P61" s="91">
        <v>1</v>
      </c>
      <c r="Q61" s="89"/>
      <c r="R61" s="145" t="s">
        <v>0</v>
      </c>
      <c r="S61" s="192"/>
      <c r="T61" s="37"/>
      <c r="U61" s="41"/>
      <c r="V61" s="41"/>
      <c r="W61" s="41"/>
      <c r="X61" s="41"/>
      <c r="Y61" s="41"/>
      <c r="Z61" s="41"/>
      <c r="AA61" s="41"/>
      <c r="AB61" s="41"/>
      <c r="AC61" s="41"/>
      <c r="AD61" s="41"/>
      <c r="AE61" s="67"/>
      <c r="AF61" s="61" t="s">
        <v>128</v>
      </c>
      <c r="AG61" s="202">
        <f>P61/100</f>
        <v>0.01</v>
      </c>
      <c r="AH61" s="202"/>
      <c r="AI61" s="203" t="s">
        <v>129</v>
      </c>
      <c r="AJ61" s="20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33"/>
      <c r="CI61" s="53" t="s">
        <v>91</v>
      </c>
      <c r="CJ61" s="29">
        <f>IF(CJ55="N/A","N/A",(2.66*CJ57^1.25)*((6.74*(CJ$22/100)^0.7)+0.4+(CJ59/CJ56)*CJ$23)*1000)</f>
        <v>178.87412773641381</v>
      </c>
      <c r="EG61" s="29"/>
      <c r="EH61" s="29">
        <v>50</v>
      </c>
      <c r="EI61" s="29">
        <v>102.7</v>
      </c>
      <c r="EJ61" s="29">
        <v>78</v>
      </c>
      <c r="EK61" s="29">
        <v>64.5</v>
      </c>
      <c r="EL61" s="29">
        <v>44.3</v>
      </c>
      <c r="EM61" s="29">
        <v>34.9</v>
      </c>
      <c r="EN61" s="29">
        <v>29.2</v>
      </c>
      <c r="EO61" s="29">
        <v>18.7</v>
      </c>
      <c r="EP61" s="29">
        <v>11.7</v>
      </c>
      <c r="EQ61" s="29">
        <v>7</v>
      </c>
      <c r="FF61" s="29">
        <v>57</v>
      </c>
      <c r="FG61" s="29">
        <f t="shared" si="0"/>
        <v>3.5814156250923639</v>
      </c>
      <c r="FH61" s="29">
        <f>($P$20/2000)*SIN(FG61)+($P$20/2000)</f>
        <v>0.14355517710873195</v>
      </c>
      <c r="FI61" s="29">
        <f>($P$20/2000)*COS(FG61)+$P$20/2000</f>
        <v>2.3793236883495078E-2</v>
      </c>
      <c r="FL61" s="29">
        <f>IF($P$19="Hexagon",EU61,IF(OR($P$19="Kerbdrain150",$P$19="Kerbdrain280"),FA61,IF(OR($P$19="Channel100",$P$19="Channel150",$P$19="Channel200",$P$19="Channel430"),EW61,IF(AND($P$19="Oval",$CJ$11=0.15),FH61,IF(AND($P$19="Oval",$CJ$11=0.225),FH61,IF(AND($P$19="Oval",$CJ$11=0.35),FH61,IF(AND($P$19="Oval",$CJ$11=0.55),FH61,IF(AND($P$19="Oval",$CJ$11=0.7),FD61,IF(AND($P$19="Oval",$CJ$11=0.9),FD61,"")))))))))</f>
        <v>0</v>
      </c>
      <c r="FM61" s="29">
        <f>IF($P$19="Hexagon",EV61,IF(OR($P$19="Kerbdrain150",$P$19="Kerbdrain280"),FB61,IF(OR($P$19="Channel100",$P$19="Channel150",$P$19="Channel200",$P$19="Channel430"),EX61,IF(AND($P$19="Oval",$CJ$11=0.15),FI61,IF(AND($P$19="Oval",$CJ$11=0.225),FI61,IF(AND($P$19="Oval",$CJ$11=0.35),FI61,IF(AND($P$19="Oval",$CJ$11=0.55),FI61,IF(AND($P$19="Oval",$CJ$11=0.7),FE61,IF(AND($P$19="Oval",$CJ$11=0.9),FE61,"")))))))))</f>
        <v>0</v>
      </c>
      <c r="FP61" s="29">
        <f>IF(MAX(FL$5:FM$104)&lt;0.5,FL61*2,FL61)</f>
        <v>0</v>
      </c>
      <c r="FQ61" s="29">
        <f>IF(MAX(FL$5:FM$104)&lt;0.5,FM61*2,FM61)</f>
        <v>0</v>
      </c>
      <c r="FT61" s="29">
        <f>IF(AND(FP61=0,FQ61=0),FT60,FP61+(0.5*(1-MAX(FP$5:FP$104))))</f>
        <v>0.5</v>
      </c>
      <c r="FU61" s="29">
        <f>IF(AND(FP61=0,FQ61=0),FU60,FQ61+(0.5*(1-MAX(FQ$5:FQ$104))))</f>
        <v>0.21600000000000003</v>
      </c>
      <c r="GK61" s="51">
        <v>57</v>
      </c>
      <c r="GL61" s="51">
        <f t="shared" si="5"/>
        <v>3.5814156250923639</v>
      </c>
      <c r="GM61" s="51">
        <f>($M$66/2000)*SIN(GL61)+($M$66/2000)</f>
        <v>0.14355517710873195</v>
      </c>
      <c r="GN61" s="51">
        <f>($M$66/2000)*COS(GL61)+$M$66/2000</f>
        <v>2.3793236883495078E-2</v>
      </c>
      <c r="GQ61" s="51">
        <f>IF($M$65="Hexagon",FZ61,IF(OR($M$65="Kerbdrain150",$M$65="Kerbdrain280"),GF61,IF(OR($M$65="Channel100",$M$65="Channel150",$M$65="Channel200",$M$65="Channel430"),GB61,IF(AND($M$65="Oval",$CL$11=0.15),GM61,IF(AND($M$65="Oval",$CL$11=0.225),GM61,IF(AND($M$65="Oval",$CL$11=0.35),GM61,IF(AND($M$65="Oval",$CL$11=0.55),GM61,IF(AND($M$65="Oval",$CL$11=0.7),GI61,IF(AND($M$65="Oval",$CL$11=0.9),GI61,"")))))))))</f>
        <v>0</v>
      </c>
      <c r="GR61" s="51">
        <f>IF($M$65="Hexagon",GA61,IF(OR($M$65="Kerbdrain150",$M$65="Kerbdrain280"),GG61,IF(OR($M$65="Channel100",$M$65="Channel150",$M$65="Channel200",$M$65="Channel430"),GC61,IF(AND($M$65="Oval",$CL$11=0.15),GN61,IF(AND($M$65="Oval",$CL$11=0.225),GN61,IF(AND($M$65="Oval",$CL$11=0.35),GN61,IF(AND($M$65="Oval",$CL$11=0.55),GN61,IF(AND($M$65="Oval",$CL$11=0.7),GJ61,IF(AND($M$65="Oval",$CL$11=0.9),GJ61,"")))))))))</f>
        <v>0</v>
      </c>
      <c r="GU61" s="51">
        <f>IF(MAX(GQ$5:GR$104)&lt;0.5,GQ61*2,GQ61)</f>
        <v>0</v>
      </c>
      <c r="GV61" s="51">
        <f>IF(MAX(GQ$5:GR$104)&lt;0.5,GR61*2,GR61)</f>
        <v>0</v>
      </c>
      <c r="GY61" s="51">
        <f>IF(AND(GU61=0,GV61=0),GY60,GU61+(0.5*(1-MAX(GU$5:GU$104))))</f>
        <v>0.5</v>
      </c>
      <c r="GZ61" s="51">
        <f>IF(AND(GU61=0,GV61=0),GZ60,GV61+(0.5*(1-MAX(GV$5:GV$104))))</f>
        <v>0.21600000000000003</v>
      </c>
    </row>
    <row r="62" spans="2:208" ht="15.75" thickBot="1">
      <c r="B62" s="9"/>
      <c r="C62" s="10"/>
      <c r="D62" s="10"/>
      <c r="E62" s="10"/>
      <c r="F62" s="11"/>
      <c r="G62" s="70"/>
      <c r="H62" s="71" t="s">
        <v>104</v>
      </c>
      <c r="I62" s="72"/>
      <c r="J62" s="72"/>
      <c r="K62" s="72"/>
      <c r="L62" s="72"/>
      <c r="M62" s="72"/>
      <c r="N62" s="72"/>
      <c r="O62" s="72"/>
      <c r="P62" s="271">
        <v>100</v>
      </c>
      <c r="Q62" s="270"/>
      <c r="R62" s="72" t="s">
        <v>1</v>
      </c>
      <c r="S62" s="191"/>
      <c r="T62" s="37"/>
      <c r="U62" s="41"/>
      <c r="V62" s="41"/>
      <c r="W62" s="41"/>
      <c r="X62" s="41"/>
      <c r="Y62" s="41"/>
      <c r="Z62" s="41"/>
      <c r="AA62" s="41"/>
      <c r="AB62" s="41"/>
      <c r="AC62" s="41"/>
      <c r="AD62" s="41"/>
      <c r="AE62" s="67"/>
      <c r="AF62" s="205" t="s">
        <v>130</v>
      </c>
      <c r="AG62" s="206"/>
      <c r="AH62" s="206"/>
      <c r="AI62" s="207">
        <f>100/P61</f>
        <v>100</v>
      </c>
      <c r="AJ62" s="208"/>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33"/>
      <c r="CI62" s="53" t="str">
        <f>IF(CJ61&gt;CJ60*1.2,"Channel Length Can Be Increased",IF(CJ61&gt;CJ60,"Channel Length Is OK","Insufficient Capacity, Decrease Channel Length"))</f>
        <v>Insufficient Capacity, Decrease Channel Length</v>
      </c>
      <c r="EB62" s="1">
        <v>0</v>
      </c>
      <c r="EC62" s="1">
        <v>0</v>
      </c>
      <c r="ED62" s="1">
        <f>EB62</f>
        <v>0</v>
      </c>
      <c r="EG62" s="29"/>
      <c r="EH62" s="29">
        <v>100</v>
      </c>
      <c r="EI62" s="29">
        <v>117</v>
      </c>
      <c r="EJ62" s="29">
        <v>89.5</v>
      </c>
      <c r="EK62" s="29">
        <v>74.599999999999994</v>
      </c>
      <c r="EL62" s="29">
        <v>51.6</v>
      </c>
      <c r="EM62" s="29">
        <v>40.700000000000003</v>
      </c>
      <c r="EN62" s="29">
        <v>34.200000000000003</v>
      </c>
      <c r="EO62" s="29">
        <v>21.9</v>
      </c>
      <c r="EP62" s="29">
        <v>13.6</v>
      </c>
      <c r="EQ62" s="29">
        <v>8</v>
      </c>
      <c r="FF62" s="29">
        <v>58</v>
      </c>
      <c r="FG62" s="29">
        <f t="shared" si="0"/>
        <v>3.6442474781641598</v>
      </c>
      <c r="FH62" s="29">
        <f>($P$20/2000)*SIN(FG62)+($P$20/2000)</f>
        <v>0.12956158147457125</v>
      </c>
      <c r="FI62" s="29">
        <f>($P$20/2000)*COS(FG62)+$P$20/2000</f>
        <v>3.0923329989034076E-2</v>
      </c>
      <c r="FL62" s="29">
        <f>IF($P$19="Hexagon",EU62,IF(OR($P$19="Kerbdrain150",$P$19="Kerbdrain280"),FA62,IF(OR($P$19="Channel100",$P$19="Channel150",$P$19="Channel200",$P$19="Channel430"),EW62,IF(AND($P$19="Oval",$CJ$11=0.15),FH62,IF(AND($P$19="Oval",$CJ$11=0.225),FH62,IF(AND($P$19="Oval",$CJ$11=0.35),FH62,IF(AND($P$19="Oval",$CJ$11=0.55),FH62,IF(AND($P$19="Oval",$CJ$11=0.7),FD62,IF(AND($P$19="Oval",$CJ$11=0.9),FD62,"")))))))))</f>
        <v>0</v>
      </c>
      <c r="FM62" s="29">
        <f>IF($P$19="Hexagon",EV62,IF(OR($P$19="Kerbdrain150",$P$19="Kerbdrain280"),FB62,IF(OR($P$19="Channel100",$P$19="Channel150",$P$19="Channel200",$P$19="Channel430"),EX62,IF(AND($P$19="Oval",$CJ$11=0.15),FI62,IF(AND($P$19="Oval",$CJ$11=0.225),FI62,IF(AND($P$19="Oval",$CJ$11=0.35),FI62,IF(AND($P$19="Oval",$CJ$11=0.55),FI62,IF(AND($P$19="Oval",$CJ$11=0.7),FE62,IF(AND($P$19="Oval",$CJ$11=0.9),FE62,"")))))))))</f>
        <v>0</v>
      </c>
      <c r="FP62" s="29">
        <f>IF(MAX(FL$5:FM$104)&lt;0.5,FL62*2,FL62)</f>
        <v>0</v>
      </c>
      <c r="FQ62" s="29">
        <f>IF(MAX(FL$5:FM$104)&lt;0.5,FM62*2,FM62)</f>
        <v>0</v>
      </c>
      <c r="FT62" s="29">
        <f>IF(AND(FP62=0,FQ62=0),FT61,FP62+(0.5*(1-MAX(FP$5:FP$104))))</f>
        <v>0.5</v>
      </c>
      <c r="FU62" s="29">
        <f>IF(AND(FP62=0,FQ62=0),FU61,FQ62+(0.5*(1-MAX(FQ$5:FQ$104))))</f>
        <v>0.21600000000000003</v>
      </c>
      <c r="GK62" s="51">
        <v>58</v>
      </c>
      <c r="GL62" s="51">
        <f t="shared" si="5"/>
        <v>3.6442474781641598</v>
      </c>
      <c r="GM62" s="51">
        <f>($M$66/2000)*SIN(GL62)+($M$66/2000)</f>
        <v>0.12956158147457125</v>
      </c>
      <c r="GN62" s="51">
        <f>($M$66/2000)*COS(GL62)+$M$66/2000</f>
        <v>3.0923329989034076E-2</v>
      </c>
      <c r="GQ62" s="51">
        <f>IF($M$65="Hexagon",FZ62,IF(OR($M$65="Kerbdrain150",$M$65="Kerbdrain280"),GF62,IF(OR($M$65="Channel100",$M$65="Channel150",$M$65="Channel200",$M$65="Channel430"),GB62,IF(AND($M$65="Oval",$CL$11=0.15),GM62,IF(AND($M$65="Oval",$CL$11=0.225),GM62,IF(AND($M$65="Oval",$CL$11=0.35),GM62,IF(AND($M$65="Oval",$CL$11=0.55),GM62,IF(AND($M$65="Oval",$CL$11=0.7),GI62,IF(AND($M$65="Oval",$CL$11=0.9),GI62,"")))))))))</f>
        <v>0</v>
      </c>
      <c r="GR62" s="51">
        <f>IF($M$65="Hexagon",GA62,IF(OR($M$65="Kerbdrain150",$M$65="Kerbdrain280"),GG62,IF(OR($M$65="Channel100",$M$65="Channel150",$M$65="Channel200",$M$65="Channel430"),GC62,IF(AND($M$65="Oval",$CL$11=0.15),GN62,IF(AND($M$65="Oval",$CL$11=0.225),GN62,IF(AND($M$65="Oval",$CL$11=0.35),GN62,IF(AND($M$65="Oval",$CL$11=0.55),GN62,IF(AND($M$65="Oval",$CL$11=0.7),GJ62,IF(AND($M$65="Oval",$CL$11=0.9),GJ62,"")))))))))</f>
        <v>0</v>
      </c>
      <c r="GU62" s="51">
        <f>IF(MAX(GQ$5:GR$104)&lt;0.5,GQ62*2,GQ62)</f>
        <v>0</v>
      </c>
      <c r="GV62" s="51">
        <f>IF(MAX(GQ$5:GR$104)&lt;0.5,GR62*2,GR62)</f>
        <v>0</v>
      </c>
      <c r="GY62" s="51">
        <f>IF(AND(GU62=0,GV62=0),GY61,GU62+(0.5*(1-MAX(GU$5:GU$104))))</f>
        <v>0.5</v>
      </c>
      <c r="GZ62" s="51">
        <f>IF(AND(GU62=0,GV62=0),GZ61,GV62+(0.5*(1-MAX(GV$5:GV$104))))</f>
        <v>0.21600000000000003</v>
      </c>
    </row>
    <row r="63" spans="2:208" ht="15.75" thickBot="1">
      <c r="B63" s="9"/>
      <c r="C63" s="10"/>
      <c r="D63" s="10"/>
      <c r="E63" s="10"/>
      <c r="F63" s="11"/>
      <c r="G63" s="70"/>
      <c r="H63" s="37"/>
      <c r="I63" s="37"/>
      <c r="J63" s="37"/>
      <c r="K63" s="37"/>
      <c r="L63" s="37"/>
      <c r="M63" s="37"/>
      <c r="N63" s="37"/>
      <c r="O63" s="37"/>
      <c r="P63" s="37"/>
      <c r="Q63" s="37"/>
      <c r="R63" s="37"/>
      <c r="S63" s="37"/>
      <c r="T63" s="37"/>
      <c r="U63" s="41"/>
      <c r="V63" s="41"/>
      <c r="W63" s="41"/>
      <c r="X63" s="41"/>
      <c r="Y63" s="41"/>
      <c r="Z63" s="41"/>
      <c r="AA63" s="41"/>
      <c r="AB63" s="41"/>
      <c r="AC63" s="41"/>
      <c r="AD63" s="41"/>
      <c r="AE63" s="67"/>
      <c r="AF63" s="42"/>
      <c r="AG63" s="41"/>
      <c r="AH63" s="41"/>
      <c r="AI63" s="41"/>
      <c r="AJ63" s="43"/>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33"/>
      <c r="EB63" s="1" t="str">
        <f>H18</f>
        <v>Channel Design</v>
      </c>
      <c r="EC63" s="30">
        <f>W18</f>
        <v>0</v>
      </c>
      <c r="ED63" s="1" t="str">
        <f t="shared" ref="ED63:ED71" si="34">EB63</f>
        <v>Channel Design</v>
      </c>
      <c r="EG63" s="29"/>
      <c r="EH63" s="29">
        <v>500</v>
      </c>
      <c r="EI63" s="29">
        <v>158.5</v>
      </c>
      <c r="EJ63" s="29">
        <v>123.5</v>
      </c>
      <c r="EK63" s="29">
        <v>104.2</v>
      </c>
      <c r="EL63" s="29">
        <v>73.2</v>
      </c>
      <c r="EM63" s="29">
        <v>58.2</v>
      </c>
      <c r="EN63" s="29">
        <v>49</v>
      </c>
      <c r="EO63" s="29">
        <v>31.6</v>
      </c>
      <c r="EP63" s="29">
        <v>19.5</v>
      </c>
      <c r="EQ63" s="29">
        <v>12</v>
      </c>
      <c r="FF63" s="29">
        <v>59</v>
      </c>
      <c r="FG63" s="29">
        <f t="shared" si="0"/>
        <v>3.7070793312359558</v>
      </c>
      <c r="FH63" s="29">
        <f>($P$20/2000)*SIN(FG63)+($P$20/2000)</f>
        <v>0.11604330125525089</v>
      </c>
      <c r="FI63" s="29">
        <f>($P$20/2000)*COS(FG63)+$P$20/2000</f>
        <v>3.8918018624496203E-2</v>
      </c>
      <c r="FL63" s="29">
        <f>IF($P$19="Hexagon",EU63,IF(OR($P$19="Kerbdrain150",$P$19="Kerbdrain280"),FA63,IF(OR($P$19="Channel100",$P$19="Channel150",$P$19="Channel200",$P$19="Channel430"),EW63,IF(AND($P$19="Oval",$CJ$11=0.15),FH63,IF(AND($P$19="Oval",$CJ$11=0.225),FH63,IF(AND($P$19="Oval",$CJ$11=0.35),FH63,IF(AND($P$19="Oval",$CJ$11=0.55),FH63,IF(AND($P$19="Oval",$CJ$11=0.7),FD63,IF(AND($P$19="Oval",$CJ$11=0.9),FD63,"")))))))))</f>
        <v>0</v>
      </c>
      <c r="FM63" s="29">
        <f>IF($P$19="Hexagon",EV63,IF(OR($P$19="Kerbdrain150",$P$19="Kerbdrain280"),FB63,IF(OR($P$19="Channel100",$P$19="Channel150",$P$19="Channel200",$P$19="Channel430"),EX63,IF(AND($P$19="Oval",$CJ$11=0.15),FI63,IF(AND($P$19="Oval",$CJ$11=0.225),FI63,IF(AND($P$19="Oval",$CJ$11=0.35),FI63,IF(AND($P$19="Oval",$CJ$11=0.55),FI63,IF(AND($P$19="Oval",$CJ$11=0.7),FE63,IF(AND($P$19="Oval",$CJ$11=0.9),FE63,"")))))))))</f>
        <v>0</v>
      </c>
      <c r="FP63" s="29">
        <f>IF(MAX(FL$5:FM$104)&lt;0.5,FL63*2,FL63)</f>
        <v>0</v>
      </c>
      <c r="FQ63" s="29">
        <f>IF(MAX(FL$5:FM$104)&lt;0.5,FM63*2,FM63)</f>
        <v>0</v>
      </c>
      <c r="FT63" s="29">
        <f>IF(AND(FP63=0,FQ63=0),FT62,FP63+(0.5*(1-MAX(FP$5:FP$104))))</f>
        <v>0.5</v>
      </c>
      <c r="FU63" s="29">
        <f>IF(AND(FP63=0,FQ63=0),FU62,FQ63+(0.5*(1-MAX(FQ$5:FQ$104))))</f>
        <v>0.21600000000000003</v>
      </c>
      <c r="GK63" s="51">
        <v>59</v>
      </c>
      <c r="GL63" s="51">
        <f t="shared" si="5"/>
        <v>3.7070793312359558</v>
      </c>
      <c r="GM63" s="51">
        <f>($M$66/2000)*SIN(GL63)+($M$66/2000)</f>
        <v>0.11604330125525089</v>
      </c>
      <c r="GN63" s="51">
        <f>($M$66/2000)*COS(GL63)+$M$66/2000</f>
        <v>3.8918018624496203E-2</v>
      </c>
      <c r="GQ63" s="51">
        <f>IF($M$65="Hexagon",FZ63,IF(OR($M$65="Kerbdrain150",$M$65="Kerbdrain280"),GF63,IF(OR($M$65="Channel100",$M$65="Channel150",$M$65="Channel200",$M$65="Channel430"),GB63,IF(AND($M$65="Oval",$CL$11=0.15),GM63,IF(AND($M$65="Oval",$CL$11=0.225),GM63,IF(AND($M$65="Oval",$CL$11=0.35),GM63,IF(AND($M$65="Oval",$CL$11=0.55),GM63,IF(AND($M$65="Oval",$CL$11=0.7),GI63,IF(AND($M$65="Oval",$CL$11=0.9),GI63,"")))))))))</f>
        <v>0</v>
      </c>
      <c r="GR63" s="51">
        <f>IF($M$65="Hexagon",GA63,IF(OR($M$65="Kerbdrain150",$M$65="Kerbdrain280"),GG63,IF(OR($M$65="Channel100",$M$65="Channel150",$M$65="Channel200",$M$65="Channel430"),GC63,IF(AND($M$65="Oval",$CL$11=0.15),GN63,IF(AND($M$65="Oval",$CL$11=0.225),GN63,IF(AND($M$65="Oval",$CL$11=0.35),GN63,IF(AND($M$65="Oval",$CL$11=0.55),GN63,IF(AND($M$65="Oval",$CL$11=0.7),GJ63,IF(AND($M$65="Oval",$CL$11=0.9),GJ63,"")))))))))</f>
        <v>0</v>
      </c>
      <c r="GU63" s="51">
        <f>IF(MAX(GQ$5:GR$104)&lt;0.5,GQ63*2,GQ63)</f>
        <v>0</v>
      </c>
      <c r="GV63" s="51">
        <f>IF(MAX(GQ$5:GR$104)&lt;0.5,GR63*2,GR63)</f>
        <v>0</v>
      </c>
      <c r="GY63" s="51">
        <f>IF(AND(GU63=0,GV63=0),GY62,GU63+(0.5*(1-MAX(GU$5:GU$104))))</f>
        <v>0.5</v>
      </c>
      <c r="GZ63" s="51">
        <f>IF(AND(GU63=0,GV63=0),GZ62,GV63+(0.5*(1-MAX(GV$5:GV$104))))</f>
        <v>0.21600000000000003</v>
      </c>
    </row>
    <row r="64" spans="2:208" ht="15.75" thickBot="1">
      <c r="B64" s="9"/>
      <c r="C64" s="10"/>
      <c r="D64" s="10"/>
      <c r="E64" s="10"/>
      <c r="F64" s="11"/>
      <c r="G64" s="70"/>
      <c r="H64" s="90" t="s">
        <v>106</v>
      </c>
      <c r="I64" s="88"/>
      <c r="J64" s="88"/>
      <c r="K64" s="88"/>
      <c r="L64" s="88"/>
      <c r="M64" s="88"/>
      <c r="N64" s="88"/>
      <c r="O64" s="88"/>
      <c r="P64" s="88"/>
      <c r="Q64" s="89"/>
      <c r="R64" s="37"/>
      <c r="S64" s="37"/>
      <c r="T64" s="37"/>
      <c r="U64" s="41"/>
      <c r="V64" s="41"/>
      <c r="W64" s="41"/>
      <c r="X64" s="41"/>
      <c r="Y64" s="41"/>
      <c r="Z64" s="41"/>
      <c r="AA64" s="41"/>
      <c r="AB64" s="41"/>
      <c r="AC64" s="41"/>
      <c r="AD64" s="41"/>
      <c r="AE64" s="67"/>
      <c r="AF64" s="42"/>
      <c r="AG64" s="41"/>
      <c r="AH64" s="41"/>
      <c r="AI64" s="41"/>
      <c r="AJ64" s="43"/>
      <c r="AK64" s="54"/>
      <c r="AL64" s="54"/>
      <c r="BP64" s="54"/>
      <c r="BQ64" s="54"/>
      <c r="BR64" s="54"/>
      <c r="BS64" s="54"/>
      <c r="BT64" s="54"/>
      <c r="BU64" s="54"/>
      <c r="BV64" s="54"/>
      <c r="BW64" s="54"/>
      <c r="BX64" s="54"/>
      <c r="BY64" s="54"/>
      <c r="BZ64" s="54"/>
      <c r="CA64" s="54"/>
      <c r="CB64" s="54"/>
      <c r="CC64" s="54"/>
      <c r="CD64" s="54"/>
      <c r="CE64" s="54"/>
      <c r="CF64" s="54"/>
      <c r="CG64" s="33"/>
      <c r="CI64" s="53" t="s">
        <v>100</v>
      </c>
      <c r="CJ64" s="56">
        <f>IF(HLOOKUP(M$65,CQ$5:CX$11,6,FALSE)&gt;M66,"N/A",HLOOKUP(M$65,CQ$5:CX$11,6,FALSE))</f>
        <v>500</v>
      </c>
      <c r="CK64" s="29" t="s">
        <v>71</v>
      </c>
      <c r="EB64" s="1" t="str">
        <f>H19</f>
        <v>Channel Type</v>
      </c>
      <c r="EC64" s="30">
        <f>W19</f>
        <v>0</v>
      </c>
      <c r="ED64" s="1" t="str">
        <f t="shared" si="34"/>
        <v>Channel Type</v>
      </c>
      <c r="EG64" s="29"/>
      <c r="EH64" s="29">
        <v>1000</v>
      </c>
      <c r="EI64" s="29">
        <v>180.6</v>
      </c>
      <c r="EJ64" s="29">
        <v>141.80000000000001</v>
      </c>
      <c r="EK64" s="29">
        <v>120.4</v>
      </c>
      <c r="EL64" s="29">
        <v>85.1</v>
      </c>
      <c r="EM64" s="29">
        <v>67.900000000000006</v>
      </c>
      <c r="EN64" s="29">
        <v>57.3</v>
      </c>
      <c r="EO64" s="29">
        <v>37</v>
      </c>
      <c r="EP64" s="29">
        <v>22.8</v>
      </c>
      <c r="EQ64" s="29">
        <v>13</v>
      </c>
      <c r="FF64" s="29">
        <v>60</v>
      </c>
      <c r="FG64" s="29">
        <f t="shared" si="0"/>
        <v>3.7699111843077517</v>
      </c>
      <c r="FH64" s="29">
        <f>($P$20/2000)*SIN(FG64)+($P$20/2000)</f>
        <v>0.10305368692688174</v>
      </c>
      <c r="FI64" s="29">
        <f>($P$20/2000)*COS(FG64)+$P$20/2000</f>
        <v>4.7745751406263109E-2</v>
      </c>
      <c r="FL64" s="29">
        <f>IF($P$19="Hexagon",EU64,IF(OR($P$19="Kerbdrain150",$P$19="Kerbdrain280"),FA64,IF(OR($P$19="Channel100",$P$19="Channel150",$P$19="Channel200",$P$19="Channel430"),EW64,IF(AND($P$19="Oval",$CJ$11=0.15),FH64,IF(AND($P$19="Oval",$CJ$11=0.225),FH64,IF(AND($P$19="Oval",$CJ$11=0.35),FH64,IF(AND($P$19="Oval",$CJ$11=0.55),FH64,IF(AND($P$19="Oval",$CJ$11=0.7),FD64,IF(AND($P$19="Oval",$CJ$11=0.9),FD64,"")))))))))</f>
        <v>0</v>
      </c>
      <c r="FM64" s="29">
        <f>IF($P$19="Hexagon",EV64,IF(OR($P$19="Kerbdrain150",$P$19="Kerbdrain280"),FB64,IF(OR($P$19="Channel100",$P$19="Channel150",$P$19="Channel200",$P$19="Channel430"),EX64,IF(AND($P$19="Oval",$CJ$11=0.15),FI64,IF(AND($P$19="Oval",$CJ$11=0.225),FI64,IF(AND($P$19="Oval",$CJ$11=0.35),FI64,IF(AND($P$19="Oval",$CJ$11=0.55),FI64,IF(AND($P$19="Oval",$CJ$11=0.7),FE64,IF(AND($P$19="Oval",$CJ$11=0.9),FE64,"")))))))))</f>
        <v>0</v>
      </c>
      <c r="FP64" s="29">
        <f>IF(MAX(FL$5:FM$104)&lt;0.5,FL64*2,FL64)</f>
        <v>0</v>
      </c>
      <c r="FQ64" s="29">
        <f>IF(MAX(FL$5:FM$104)&lt;0.5,FM64*2,FM64)</f>
        <v>0</v>
      </c>
      <c r="FT64" s="29">
        <f>IF(AND(FP64=0,FQ64=0),FT63,FP64+(0.5*(1-MAX(FP$5:FP$104))))</f>
        <v>0.5</v>
      </c>
      <c r="FU64" s="29">
        <f>IF(AND(FP64=0,FQ64=0),FU63,FQ64+(0.5*(1-MAX(FQ$5:FQ$104))))</f>
        <v>0.21600000000000003</v>
      </c>
      <c r="GK64" s="51">
        <v>60</v>
      </c>
      <c r="GL64" s="51">
        <f t="shared" si="5"/>
        <v>3.7699111843077517</v>
      </c>
      <c r="GM64" s="51">
        <f>($M$66/2000)*SIN(GL64)+($M$66/2000)</f>
        <v>0.10305368692688174</v>
      </c>
      <c r="GN64" s="51">
        <f>($M$66/2000)*COS(GL64)+$M$66/2000</f>
        <v>4.7745751406263109E-2</v>
      </c>
      <c r="GQ64" s="51">
        <f>IF($M$65="Hexagon",FZ64,IF(OR($M$65="Kerbdrain150",$M$65="Kerbdrain280"),GF64,IF(OR($M$65="Channel100",$M$65="Channel150",$M$65="Channel200",$M$65="Channel430"),GB64,IF(AND($M$65="Oval",$CL$11=0.15),GM64,IF(AND($M$65="Oval",$CL$11=0.225),GM64,IF(AND($M$65="Oval",$CL$11=0.35),GM64,IF(AND($M$65="Oval",$CL$11=0.55),GM64,IF(AND($M$65="Oval",$CL$11=0.7),GI64,IF(AND($M$65="Oval",$CL$11=0.9),GI64,"")))))))))</f>
        <v>0</v>
      </c>
      <c r="GR64" s="51">
        <f>IF($M$65="Hexagon",GA64,IF(OR($M$65="Kerbdrain150",$M$65="Kerbdrain280"),GG64,IF(OR($M$65="Channel100",$M$65="Channel150",$M$65="Channel200",$M$65="Channel430"),GC64,IF(AND($M$65="Oval",$CL$11=0.15),GN64,IF(AND($M$65="Oval",$CL$11=0.225),GN64,IF(AND($M$65="Oval",$CL$11=0.35),GN64,IF(AND($M$65="Oval",$CL$11=0.55),GN64,IF(AND($M$65="Oval",$CL$11=0.7),GJ64,IF(AND($M$65="Oval",$CL$11=0.9),GJ64,"")))))))))</f>
        <v>0</v>
      </c>
      <c r="GU64" s="51">
        <f>IF(MAX(GQ$5:GR$104)&lt;0.5,GQ64*2,GQ64)</f>
        <v>0</v>
      </c>
      <c r="GV64" s="51">
        <f>IF(MAX(GQ$5:GR$104)&lt;0.5,GR64*2,GR64)</f>
        <v>0</v>
      </c>
      <c r="GY64" s="51">
        <f>IF(AND(GU64=0,GV64=0),GY63,GU64+(0.5*(1-MAX(GU$5:GU$104))))</f>
        <v>0.5</v>
      </c>
      <c r="GZ64" s="51">
        <f>IF(AND(GU64=0,GV64=0),GZ63,GV64+(0.5*(1-MAX(GV$5:GV$104))))</f>
        <v>0.21600000000000003</v>
      </c>
    </row>
    <row r="65" spans="2:208" ht="15.75" thickBot="1">
      <c r="B65" s="9"/>
      <c r="C65" s="10"/>
      <c r="D65" s="10"/>
      <c r="E65" s="10"/>
      <c r="F65" s="11"/>
      <c r="G65" s="70"/>
      <c r="H65" s="80" t="s">
        <v>107</v>
      </c>
      <c r="I65" s="139"/>
      <c r="J65" s="139"/>
      <c r="K65" s="139"/>
      <c r="L65" s="140"/>
      <c r="M65" s="265" t="s">
        <v>55</v>
      </c>
      <c r="N65" s="266"/>
      <c r="O65" s="266"/>
      <c r="P65" s="266"/>
      <c r="Q65" s="267"/>
      <c r="R65" s="37"/>
      <c r="S65" s="37"/>
      <c r="T65" s="37"/>
      <c r="U65" s="41"/>
      <c r="V65" s="41"/>
      <c r="W65" s="41"/>
      <c r="X65" s="41"/>
      <c r="Y65" s="41"/>
      <c r="Z65" s="41"/>
      <c r="AA65" s="41"/>
      <c r="AB65" s="41"/>
      <c r="AC65" s="41"/>
      <c r="AD65" s="41"/>
      <c r="AE65" s="67"/>
      <c r="AF65" s="42"/>
      <c r="AG65" s="41"/>
      <c r="AH65" s="41"/>
      <c r="AI65" s="41"/>
      <c r="AJ65" s="43"/>
      <c r="AK65" s="54"/>
      <c r="AL65" s="54"/>
      <c r="BP65" s="54"/>
      <c r="BQ65" s="54"/>
      <c r="BR65" s="54"/>
      <c r="BS65" s="54"/>
      <c r="BT65" s="54"/>
      <c r="BU65" s="54"/>
      <c r="BV65" s="54"/>
      <c r="BW65" s="54"/>
      <c r="BX65" s="54"/>
      <c r="BY65" s="54"/>
      <c r="BZ65" s="54"/>
      <c r="CA65" s="54"/>
      <c r="CB65" s="54"/>
      <c r="CC65" s="54"/>
      <c r="CD65" s="54"/>
      <c r="CE65" s="54"/>
      <c r="CF65" s="54"/>
      <c r="CG65" s="33"/>
      <c r="CH65" s="29" t="s">
        <v>73</v>
      </c>
      <c r="CI65" s="53" t="s">
        <v>74</v>
      </c>
      <c r="CJ65" s="56">
        <f>IF(CJ64="N/A","N/A",HLOOKUP(M$65,CQ$13:CX$19,6,FALSE))</f>
        <v>0.56799999999999995</v>
      </c>
      <c r="CK65" s="29" t="s">
        <v>1</v>
      </c>
      <c r="EB65" s="1" t="str">
        <f>H20</f>
        <v>Channel Size</v>
      </c>
      <c r="EC65" s="30">
        <f>W20</f>
        <v>0</v>
      </c>
      <c r="ED65" s="1" t="str">
        <f t="shared" si="34"/>
        <v>Channel Size</v>
      </c>
      <c r="FF65" s="29">
        <v>61</v>
      </c>
      <c r="FG65" s="29">
        <f t="shared" si="0"/>
        <v>3.8327430373795477</v>
      </c>
      <c r="FH65" s="29">
        <f>($P$20/2000)*SIN(FG65)+($P$20/2000)</f>
        <v>9.0644002562827591E-2</v>
      </c>
      <c r="FI65" s="29">
        <f>($P$20/2000)*COS(FG65)+$P$20/2000</f>
        <v>5.7371689306052687E-2</v>
      </c>
      <c r="FL65" s="29">
        <f>IF($P$19="Hexagon",EU65,IF(OR($P$19="Kerbdrain150",$P$19="Kerbdrain280"),FA65,IF(OR($P$19="Channel100",$P$19="Channel150",$P$19="Channel200",$P$19="Channel430"),EW65,IF(AND($P$19="Oval",$CJ$11=0.15),FH65,IF(AND($P$19="Oval",$CJ$11=0.225),FH65,IF(AND($P$19="Oval",$CJ$11=0.35),FH65,IF(AND($P$19="Oval",$CJ$11=0.55),FH65,IF(AND($P$19="Oval",$CJ$11=0.7),FD65,IF(AND($P$19="Oval",$CJ$11=0.9),FD65,"")))))))))</f>
        <v>0</v>
      </c>
      <c r="FM65" s="29">
        <f>IF($P$19="Hexagon",EV65,IF(OR($P$19="Kerbdrain150",$P$19="Kerbdrain280"),FB65,IF(OR($P$19="Channel100",$P$19="Channel150",$P$19="Channel200",$P$19="Channel430"),EX65,IF(AND($P$19="Oval",$CJ$11=0.15),FI65,IF(AND($P$19="Oval",$CJ$11=0.225),FI65,IF(AND($P$19="Oval",$CJ$11=0.35),FI65,IF(AND($P$19="Oval",$CJ$11=0.55),FI65,IF(AND($P$19="Oval",$CJ$11=0.7),FE65,IF(AND($P$19="Oval",$CJ$11=0.9),FE65,"")))))))))</f>
        <v>0</v>
      </c>
      <c r="FP65" s="29">
        <f>IF(MAX(FL$5:FM$104)&lt;0.5,FL65*2,FL65)</f>
        <v>0</v>
      </c>
      <c r="FQ65" s="29">
        <f>IF(MAX(FL$5:FM$104)&lt;0.5,FM65*2,FM65)</f>
        <v>0</v>
      </c>
      <c r="FT65" s="29">
        <f>IF(AND(FP65=0,FQ65=0),FT64,FP65+(0.5*(1-MAX(FP$5:FP$104))))</f>
        <v>0.5</v>
      </c>
      <c r="FU65" s="29">
        <f>IF(AND(FP65=0,FQ65=0),FU64,FQ65+(0.5*(1-MAX(FQ$5:FQ$104))))</f>
        <v>0.21600000000000003</v>
      </c>
      <c r="GK65" s="51">
        <v>61</v>
      </c>
      <c r="GL65" s="51">
        <f t="shared" si="5"/>
        <v>3.8327430373795477</v>
      </c>
      <c r="GM65" s="51">
        <f>($M$66/2000)*SIN(GL65)+($M$66/2000)</f>
        <v>9.0644002562827591E-2</v>
      </c>
      <c r="GN65" s="51">
        <f>($M$66/2000)*COS(GL65)+$M$66/2000</f>
        <v>5.7371689306052687E-2</v>
      </c>
      <c r="GQ65" s="51">
        <f>IF($M$65="Hexagon",FZ65,IF(OR($M$65="Kerbdrain150",$M$65="Kerbdrain280"),GF65,IF(OR($M$65="Channel100",$M$65="Channel150",$M$65="Channel200",$M$65="Channel430"),GB65,IF(AND($M$65="Oval",$CL$11=0.15),GM65,IF(AND($M$65="Oval",$CL$11=0.225),GM65,IF(AND($M$65="Oval",$CL$11=0.35),GM65,IF(AND($M$65="Oval",$CL$11=0.55),GM65,IF(AND($M$65="Oval",$CL$11=0.7),GI65,IF(AND($M$65="Oval",$CL$11=0.9),GI65,"")))))))))</f>
        <v>0</v>
      </c>
      <c r="GR65" s="51">
        <f>IF($M$65="Hexagon",GA65,IF(OR($M$65="Kerbdrain150",$M$65="Kerbdrain280"),GG65,IF(OR($M$65="Channel100",$M$65="Channel150",$M$65="Channel200",$M$65="Channel430"),GC65,IF(AND($M$65="Oval",$CL$11=0.15),GN65,IF(AND($M$65="Oval",$CL$11=0.225),GN65,IF(AND($M$65="Oval",$CL$11=0.35),GN65,IF(AND($M$65="Oval",$CL$11=0.55),GN65,IF(AND($M$65="Oval",$CL$11=0.7),GJ65,IF(AND($M$65="Oval",$CL$11=0.9),GJ65,"")))))))))</f>
        <v>0</v>
      </c>
      <c r="GU65" s="51">
        <f>IF(MAX(GQ$5:GR$104)&lt;0.5,GQ65*2,GQ65)</f>
        <v>0</v>
      </c>
      <c r="GV65" s="51">
        <f>IF(MAX(GQ$5:GR$104)&lt;0.5,GR65*2,GR65)</f>
        <v>0</v>
      </c>
      <c r="GY65" s="51">
        <f>IF(AND(GU65=0,GV65=0),GY64,GU65+(0.5*(1-MAX(GU$5:GU$104))))</f>
        <v>0.5</v>
      </c>
      <c r="GZ65" s="51">
        <f>IF(AND(GU65=0,GV65=0),GZ64,GV65+(0.5*(1-MAX(GV$5:GV$104))))</f>
        <v>0.21600000000000003</v>
      </c>
    </row>
    <row r="66" spans="2:208" ht="15.75" thickBot="1">
      <c r="B66" s="9"/>
      <c r="C66" s="10"/>
      <c r="D66" s="10"/>
      <c r="E66" s="10"/>
      <c r="F66" s="11"/>
      <c r="G66" s="70"/>
      <c r="H66" s="71" t="str">
        <f>IF(M65="Custom","","Channel Size")</f>
        <v>Channel Size</v>
      </c>
      <c r="I66" s="86"/>
      <c r="J66" s="86"/>
      <c r="K66" s="86"/>
      <c r="L66" s="87"/>
      <c r="M66" s="268">
        <v>500</v>
      </c>
      <c r="N66" s="269"/>
      <c r="O66" s="269"/>
      <c r="P66" s="269"/>
      <c r="Q66" s="270"/>
      <c r="R66" s="37"/>
      <c r="S66" s="37"/>
      <c r="T66" s="37"/>
      <c r="U66" s="41"/>
      <c r="V66" s="41"/>
      <c r="W66" s="41"/>
      <c r="X66" s="41"/>
      <c r="Y66" s="41"/>
      <c r="Z66" s="41"/>
      <c r="AA66" s="41"/>
      <c r="AB66" s="41"/>
      <c r="AC66" s="41"/>
      <c r="AD66" s="41"/>
      <c r="AE66" s="67"/>
      <c r="AF66" s="42"/>
      <c r="AG66" s="41"/>
      <c r="AH66" s="41"/>
      <c r="AI66" s="41"/>
      <c r="AJ66" s="43"/>
      <c r="AK66" s="54"/>
      <c r="AL66" s="54"/>
      <c r="BP66" s="54"/>
      <c r="BQ66" s="54"/>
      <c r="BR66" s="54"/>
      <c r="BS66" s="54"/>
      <c r="BT66" s="54"/>
      <c r="BU66" s="54"/>
      <c r="BV66" s="54"/>
      <c r="BW66" s="54"/>
      <c r="BX66" s="54"/>
      <c r="BY66" s="54"/>
      <c r="BZ66" s="54"/>
      <c r="CA66" s="54"/>
      <c r="CB66" s="54">
        <v>0</v>
      </c>
      <c r="CC66" s="54">
        <f>(2.66*CJ$12^1.25)*((6.74*(CB66/100)^0.7)+0.4+(P$15/CJ$11)*P$16)*1000</f>
        <v>187.55463850845086</v>
      </c>
      <c r="CD66" s="54"/>
      <c r="CE66" s="54"/>
      <c r="CF66" s="54"/>
      <c r="CG66" s="33"/>
      <c r="CH66" s="29" t="s">
        <v>20</v>
      </c>
      <c r="CI66" s="53" t="s">
        <v>75</v>
      </c>
      <c r="CJ66" s="56">
        <f>IF(CJ64="N/A","N/A",HLOOKUP(M$65,CQ$21:CX$27,6,FALSE))</f>
        <v>0.21649299999999999</v>
      </c>
      <c r="CK66" s="29" t="s">
        <v>48</v>
      </c>
      <c r="EB66" s="1" t="str">
        <f>H21</f>
        <v/>
      </c>
      <c r="EC66" s="30">
        <f>W21</f>
        <v>0</v>
      </c>
      <c r="ED66" s="1" t="str">
        <f t="shared" si="34"/>
        <v/>
      </c>
      <c r="FF66" s="29">
        <v>62</v>
      </c>
      <c r="FG66" s="29">
        <f t="shared" si="0"/>
        <v>3.8955748904513436</v>
      </c>
      <c r="FH66" s="29">
        <f>($P$20/2000)*SIN(FG66)+($P$20/2000)</f>
        <v>7.8863223517827818E-2</v>
      </c>
      <c r="FI66" s="29">
        <f>($P$20/2000)*COS(FG66)+$P$20/2000</f>
        <v>6.7757843144647112E-2</v>
      </c>
      <c r="FL66" s="29">
        <f>IF($P$19="Hexagon",EU66,IF(OR($P$19="Kerbdrain150",$P$19="Kerbdrain280"),FA66,IF(OR($P$19="Channel100",$P$19="Channel150",$P$19="Channel200",$P$19="Channel430"),EW66,IF(AND($P$19="Oval",$CJ$11=0.15),FH66,IF(AND($P$19="Oval",$CJ$11=0.225),FH66,IF(AND($P$19="Oval",$CJ$11=0.35),FH66,IF(AND($P$19="Oval",$CJ$11=0.55),FH66,IF(AND($P$19="Oval",$CJ$11=0.7),FD66,IF(AND($P$19="Oval",$CJ$11=0.9),FD66,"")))))))))</f>
        <v>0</v>
      </c>
      <c r="FM66" s="29">
        <f>IF($P$19="Hexagon",EV66,IF(OR($P$19="Kerbdrain150",$P$19="Kerbdrain280"),FB66,IF(OR($P$19="Channel100",$P$19="Channel150",$P$19="Channel200",$P$19="Channel430"),EX66,IF(AND($P$19="Oval",$CJ$11=0.15),FI66,IF(AND($P$19="Oval",$CJ$11=0.225),FI66,IF(AND($P$19="Oval",$CJ$11=0.35),FI66,IF(AND($P$19="Oval",$CJ$11=0.55),FI66,IF(AND($P$19="Oval",$CJ$11=0.7),FE66,IF(AND($P$19="Oval",$CJ$11=0.9),FE66,"")))))))))</f>
        <v>0</v>
      </c>
      <c r="FP66" s="29">
        <f>IF(MAX(FL$5:FM$104)&lt;0.5,FL66*2,FL66)</f>
        <v>0</v>
      </c>
      <c r="FQ66" s="29">
        <f>IF(MAX(FL$5:FM$104)&lt;0.5,FM66*2,FM66)</f>
        <v>0</v>
      </c>
      <c r="FT66" s="29">
        <f>IF(AND(FP66=0,FQ66=0),FT65,FP66+(0.5*(1-MAX(FP$5:FP$104))))</f>
        <v>0.5</v>
      </c>
      <c r="FU66" s="29">
        <f>IF(AND(FP66=0,FQ66=0),FU65,FQ66+(0.5*(1-MAX(FQ$5:FQ$104))))</f>
        <v>0.21600000000000003</v>
      </c>
      <c r="GK66" s="51">
        <v>62</v>
      </c>
      <c r="GL66" s="51">
        <f t="shared" si="5"/>
        <v>3.8955748904513436</v>
      </c>
      <c r="GM66" s="51">
        <f>($M$66/2000)*SIN(GL66)+($M$66/2000)</f>
        <v>7.8863223517827818E-2</v>
      </c>
      <c r="GN66" s="51">
        <f>($M$66/2000)*COS(GL66)+$M$66/2000</f>
        <v>6.7757843144647112E-2</v>
      </c>
      <c r="GQ66" s="51">
        <f>IF($M$65="Hexagon",FZ66,IF(OR($M$65="Kerbdrain150",$M$65="Kerbdrain280"),GF66,IF(OR($M$65="Channel100",$M$65="Channel150",$M$65="Channel200",$M$65="Channel430"),GB66,IF(AND($M$65="Oval",$CL$11=0.15),GM66,IF(AND($M$65="Oval",$CL$11=0.225),GM66,IF(AND($M$65="Oval",$CL$11=0.35),GM66,IF(AND($M$65="Oval",$CL$11=0.55),GM66,IF(AND($M$65="Oval",$CL$11=0.7),GI66,IF(AND($M$65="Oval",$CL$11=0.9),GI66,"")))))))))</f>
        <v>0</v>
      </c>
      <c r="GR66" s="51">
        <f>IF($M$65="Hexagon",GA66,IF(OR($M$65="Kerbdrain150",$M$65="Kerbdrain280"),GG66,IF(OR($M$65="Channel100",$M$65="Channel150",$M$65="Channel200",$M$65="Channel430"),GC66,IF(AND($M$65="Oval",$CL$11=0.15),GN66,IF(AND($M$65="Oval",$CL$11=0.225),GN66,IF(AND($M$65="Oval",$CL$11=0.35),GN66,IF(AND($M$65="Oval",$CL$11=0.55),GN66,IF(AND($M$65="Oval",$CL$11=0.7),GJ66,IF(AND($M$65="Oval",$CL$11=0.9),GJ66,"")))))))))</f>
        <v>0</v>
      </c>
      <c r="GU66" s="51">
        <f>IF(MAX(GQ$5:GR$104)&lt;0.5,GQ66*2,GQ66)</f>
        <v>0</v>
      </c>
      <c r="GV66" s="51">
        <f>IF(MAX(GQ$5:GR$104)&lt;0.5,GR66*2,GR66)</f>
        <v>0</v>
      </c>
      <c r="GY66" s="51">
        <f>IF(AND(GU66=0,GV66=0),GY65,GU66+(0.5*(1-MAX(GU$5:GU$104))))</f>
        <v>0.5</v>
      </c>
      <c r="GZ66" s="51">
        <f>IF(AND(GU66=0,GV66=0),GZ65,GV66+(0.5*(1-MAX(GV$5:GV$104))))</f>
        <v>0.21600000000000003</v>
      </c>
    </row>
    <row r="67" spans="2:208">
      <c r="B67" s="9"/>
      <c r="C67" s="10"/>
      <c r="D67" s="10"/>
      <c r="E67" s="10"/>
      <c r="F67" s="11"/>
      <c r="G67" s="70"/>
      <c r="H67" s="37"/>
      <c r="I67" s="37"/>
      <c r="J67" s="37"/>
      <c r="K67" s="37"/>
      <c r="L67" s="37"/>
      <c r="M67" s="37"/>
      <c r="N67" s="37"/>
      <c r="O67" s="37"/>
      <c r="P67" s="37"/>
      <c r="Q67" s="37"/>
      <c r="R67" s="37"/>
      <c r="S67" s="37"/>
      <c r="T67" s="37"/>
      <c r="U67" s="41"/>
      <c r="V67" s="41"/>
      <c r="W67" s="41"/>
      <c r="X67" s="41"/>
      <c r="Y67" s="41"/>
      <c r="Z67" s="41"/>
      <c r="AA67" s="41"/>
      <c r="AB67" s="41"/>
      <c r="AC67" s="41"/>
      <c r="AD67" s="41"/>
      <c r="AE67" s="67"/>
      <c r="AF67" s="42"/>
      <c r="AG67" s="41"/>
      <c r="AH67" s="41"/>
      <c r="AI67" s="41"/>
      <c r="AJ67" s="43"/>
      <c r="AK67" s="54"/>
      <c r="AL67" s="54"/>
      <c r="BP67" s="54"/>
      <c r="BQ67" s="54"/>
      <c r="BR67" s="54"/>
      <c r="BS67" s="54"/>
      <c r="BT67" s="54"/>
      <c r="BU67" s="54"/>
      <c r="BV67" s="54"/>
      <c r="BW67" s="54"/>
      <c r="BX67" s="54"/>
      <c r="BY67" s="54"/>
      <c r="BZ67" s="54"/>
      <c r="CA67" s="54"/>
      <c r="CB67" s="1">
        <v>0.01</v>
      </c>
      <c r="CC67" s="54">
        <f>(2.66*CJ$12^1.25)*((6.74*(CB67/100)^0.7)+0.4+(P$15/CJ$11)*P$16)*1000</f>
        <v>191.75074359858817</v>
      </c>
      <c r="CD67" s="54"/>
      <c r="CE67" s="54"/>
      <c r="CF67" s="54"/>
      <c r="CG67" s="33"/>
      <c r="CI67" s="53" t="s">
        <v>19</v>
      </c>
      <c r="CJ67" s="49">
        <v>17</v>
      </c>
      <c r="EB67" s="1" t="str">
        <f>H22</f>
        <v/>
      </c>
      <c r="EC67" s="30">
        <f>W22</f>
        <v>0</v>
      </c>
      <c r="ED67" s="1" t="str">
        <f t="shared" si="34"/>
        <v/>
      </c>
      <c r="EG67" s="29" t="s">
        <v>36</v>
      </c>
      <c r="EH67" s="29" t="s">
        <v>16</v>
      </c>
      <c r="EI67" s="29" t="s">
        <v>37</v>
      </c>
      <c r="EJ67" s="29"/>
      <c r="EK67" s="29"/>
      <c r="EL67" s="29"/>
      <c r="EM67" s="29"/>
      <c r="EN67" s="29"/>
      <c r="EO67" s="29"/>
      <c r="FF67" s="29">
        <v>63</v>
      </c>
      <c r="FG67" s="29">
        <f t="shared" si="0"/>
        <v>3.9584067435231391</v>
      </c>
      <c r="FH67" s="29">
        <f>($P$20/2000)*SIN(FG67)+($P$20/2000)</f>
        <v>6.7757843144647167E-2</v>
      </c>
      <c r="FI67" s="29">
        <f>($P$20/2000)*COS(FG67)+$P$20/2000</f>
        <v>7.8863223517827763E-2</v>
      </c>
      <c r="FL67" s="29">
        <f>IF($P$19="Hexagon",EU67,IF(OR($P$19="Kerbdrain150",$P$19="Kerbdrain280"),FA67,IF(OR($P$19="Channel100",$P$19="Channel150",$P$19="Channel200",$P$19="Channel430"),EW67,IF(AND($P$19="Oval",$CJ$11=0.15),FH67,IF(AND($P$19="Oval",$CJ$11=0.225),FH67,IF(AND($P$19="Oval",$CJ$11=0.35),FH67,IF(AND($P$19="Oval",$CJ$11=0.55),FH67,IF(AND($P$19="Oval",$CJ$11=0.7),FD67,IF(AND($P$19="Oval",$CJ$11=0.9),FD67,"")))))))))</f>
        <v>0</v>
      </c>
      <c r="FM67" s="29">
        <f>IF($P$19="Hexagon",EV67,IF(OR($P$19="Kerbdrain150",$P$19="Kerbdrain280"),FB67,IF(OR($P$19="Channel100",$P$19="Channel150",$P$19="Channel200",$P$19="Channel430"),EX67,IF(AND($P$19="Oval",$CJ$11=0.15),FI67,IF(AND($P$19="Oval",$CJ$11=0.225),FI67,IF(AND($P$19="Oval",$CJ$11=0.35),FI67,IF(AND($P$19="Oval",$CJ$11=0.55),FI67,IF(AND($P$19="Oval",$CJ$11=0.7),FE67,IF(AND($P$19="Oval",$CJ$11=0.9),FE67,"")))))))))</f>
        <v>0</v>
      </c>
      <c r="FP67" s="29">
        <f>IF(MAX(FL$5:FM$104)&lt;0.5,FL67*2,FL67)</f>
        <v>0</v>
      </c>
      <c r="FQ67" s="29">
        <f>IF(MAX(FL$5:FM$104)&lt;0.5,FM67*2,FM67)</f>
        <v>0</v>
      </c>
      <c r="FT67" s="29">
        <f>IF(AND(FP67=0,FQ67=0),FT66,FP67+(0.5*(1-MAX(FP$5:FP$104))))</f>
        <v>0.5</v>
      </c>
      <c r="FU67" s="29">
        <f>IF(AND(FP67=0,FQ67=0),FU66,FQ67+(0.5*(1-MAX(FQ$5:FQ$104))))</f>
        <v>0.21600000000000003</v>
      </c>
      <c r="GK67" s="51">
        <v>63</v>
      </c>
      <c r="GL67" s="51">
        <f t="shared" si="5"/>
        <v>3.9584067435231391</v>
      </c>
      <c r="GM67" s="51">
        <f>($M$66/2000)*SIN(GL67)+($M$66/2000)</f>
        <v>6.7757843144647167E-2</v>
      </c>
      <c r="GN67" s="51">
        <f>($M$66/2000)*COS(GL67)+$M$66/2000</f>
        <v>7.8863223517827763E-2</v>
      </c>
      <c r="GQ67" s="51">
        <f>IF($M$65="Hexagon",FZ67,IF(OR($M$65="Kerbdrain150",$M$65="Kerbdrain280"),GF67,IF(OR($M$65="Channel100",$M$65="Channel150",$M$65="Channel200",$M$65="Channel430"),GB67,IF(AND($M$65="Oval",$CL$11=0.15),GM67,IF(AND($M$65="Oval",$CL$11=0.225),GM67,IF(AND($M$65="Oval",$CL$11=0.35),GM67,IF(AND($M$65="Oval",$CL$11=0.55),GM67,IF(AND($M$65="Oval",$CL$11=0.7),GI67,IF(AND($M$65="Oval",$CL$11=0.9),GI67,"")))))))))</f>
        <v>0</v>
      </c>
      <c r="GR67" s="51">
        <f>IF($M$65="Hexagon",GA67,IF(OR($M$65="Kerbdrain150",$M$65="Kerbdrain280"),GG67,IF(OR($M$65="Channel100",$M$65="Channel150",$M$65="Channel200",$M$65="Channel430"),GC67,IF(AND($M$65="Oval",$CL$11=0.15),GN67,IF(AND($M$65="Oval",$CL$11=0.225),GN67,IF(AND($M$65="Oval",$CL$11=0.35),GN67,IF(AND($M$65="Oval",$CL$11=0.55),GN67,IF(AND($M$65="Oval",$CL$11=0.7),GJ67,IF(AND($M$65="Oval",$CL$11=0.9),GJ67,"")))))))))</f>
        <v>0</v>
      </c>
      <c r="GU67" s="51">
        <f>IF(MAX(GQ$5:GR$104)&lt;0.5,GQ67*2,GQ67)</f>
        <v>0</v>
      </c>
      <c r="GV67" s="51">
        <f>IF(MAX(GQ$5:GR$104)&lt;0.5,GR67*2,GR67)</f>
        <v>0</v>
      </c>
      <c r="GY67" s="51">
        <f>IF(AND(GU67=0,GV67=0),GY66,GU67+(0.5*(1-MAX(GU$5:GU$104))))</f>
        <v>0.5</v>
      </c>
      <c r="GZ67" s="51">
        <f>IF(AND(GU67=0,GV67=0),GZ66,GV67+(0.5*(1-MAX(GV$5:GV$104))))</f>
        <v>0.21600000000000003</v>
      </c>
    </row>
    <row r="68" spans="2:208">
      <c r="B68" s="9"/>
      <c r="C68" s="10"/>
      <c r="D68" s="10"/>
      <c r="E68" s="10"/>
      <c r="F68" s="11"/>
      <c r="G68" s="70"/>
      <c r="H68" s="125" t="s">
        <v>109</v>
      </c>
      <c r="I68" s="138"/>
      <c r="J68" s="138"/>
      <c r="K68" s="138"/>
      <c r="L68" s="138"/>
      <c r="M68" s="138"/>
      <c r="N68" s="138"/>
      <c r="O68" s="136"/>
      <c r="P68" s="136"/>
      <c r="Q68" s="136"/>
      <c r="R68" s="136"/>
      <c r="S68" s="136"/>
      <c r="T68" s="136"/>
      <c r="U68" s="136"/>
      <c r="V68" s="137"/>
      <c r="W68" s="122">
        <f>W30</f>
        <v>306.94444444444446</v>
      </c>
      <c r="X68" s="123"/>
      <c r="Y68" s="124"/>
      <c r="Z68" s="125" t="s">
        <v>2</v>
      </c>
      <c r="AA68" s="126"/>
      <c r="AB68" s="41"/>
      <c r="AC68" s="41"/>
      <c r="AD68" s="41"/>
      <c r="AE68" s="67"/>
      <c r="AF68" s="42"/>
      <c r="AG68" s="41"/>
      <c r="AH68" s="41"/>
      <c r="AI68" s="41"/>
      <c r="AJ68" s="43"/>
      <c r="AK68" s="54"/>
      <c r="AL68" s="54"/>
      <c r="BP68" s="54"/>
      <c r="BQ68" s="54"/>
      <c r="BR68" s="54"/>
      <c r="BS68" s="54"/>
      <c r="BT68" s="54"/>
      <c r="BU68" s="54"/>
      <c r="BV68" s="54"/>
      <c r="BW68" s="54"/>
      <c r="BX68" s="54"/>
      <c r="BY68" s="54"/>
      <c r="BZ68" s="54"/>
      <c r="CA68" s="54"/>
      <c r="CB68" s="1">
        <v>0.05</v>
      </c>
      <c r="CC68" s="54">
        <f>(2.66*CJ$12^1.25)*((6.74*(CB68/100)^0.7)+0.4+(P$15/CJ$11)*P$16)*1000</f>
        <v>200.50033316918345</v>
      </c>
      <c r="CD68" s="54"/>
      <c r="CE68" s="54"/>
      <c r="CF68" s="54"/>
      <c r="CG68" s="33"/>
      <c r="CI68" s="53" t="s">
        <v>94</v>
      </c>
      <c r="CJ68" s="51">
        <f>IF(CJ64="N/A","N/A",SUM(CJ$32+CJ$40+CJ$49+CJ$58+CJ$67))</f>
        <v>76</v>
      </c>
      <c r="EB68" s="1">
        <f>H23</f>
        <v>0</v>
      </c>
      <c r="EC68" s="30">
        <f>W23</f>
        <v>0</v>
      </c>
      <c r="ED68" s="1">
        <f t="shared" si="34"/>
        <v>0</v>
      </c>
      <c r="EG68" s="29"/>
      <c r="EH68" s="29"/>
      <c r="EI68" s="29">
        <v>5</v>
      </c>
      <c r="EJ68" s="29">
        <v>10</v>
      </c>
      <c r="EK68" s="29">
        <v>15</v>
      </c>
      <c r="EL68" s="29">
        <v>30</v>
      </c>
      <c r="EM68" s="29">
        <v>45</v>
      </c>
      <c r="EN68" s="29">
        <v>60</v>
      </c>
      <c r="EO68" s="29">
        <v>120</v>
      </c>
      <c r="EP68" s="29">
        <v>240</v>
      </c>
      <c r="EQ68" s="29">
        <v>480</v>
      </c>
      <c r="FF68" s="29">
        <v>64</v>
      </c>
      <c r="FG68" s="29">
        <f t="shared" si="0"/>
        <v>4.0212385965949355</v>
      </c>
      <c r="FH68" s="29">
        <f>($P$20/2000)*SIN(FG68)+($P$20/2000)</f>
        <v>5.7371689306052659E-2</v>
      </c>
      <c r="FI68" s="29">
        <f>($P$20/2000)*COS(FG68)+$P$20/2000</f>
        <v>9.0644002562827619E-2</v>
      </c>
      <c r="FL68" s="29">
        <f>IF($P$19="Hexagon",EU68,IF(OR($P$19="Kerbdrain150",$P$19="Kerbdrain280"),FA68,IF(OR($P$19="Channel100",$P$19="Channel150",$P$19="Channel200",$P$19="Channel430"),EW68,IF(AND($P$19="Oval",$CJ$11=0.15),FH68,IF(AND($P$19="Oval",$CJ$11=0.225),FH68,IF(AND($P$19="Oval",$CJ$11=0.35),FH68,IF(AND($P$19="Oval",$CJ$11=0.55),FH68,IF(AND($P$19="Oval",$CJ$11=0.7),FD68,IF(AND($P$19="Oval",$CJ$11=0.9),FD68,"")))))))))</f>
        <v>0</v>
      </c>
      <c r="FM68" s="29">
        <f>IF($P$19="Hexagon",EV68,IF(OR($P$19="Kerbdrain150",$P$19="Kerbdrain280"),FB68,IF(OR($P$19="Channel100",$P$19="Channel150",$P$19="Channel200",$P$19="Channel430"),EX68,IF(AND($P$19="Oval",$CJ$11=0.15),FI68,IF(AND($P$19="Oval",$CJ$11=0.225),FI68,IF(AND($P$19="Oval",$CJ$11=0.35),FI68,IF(AND($P$19="Oval",$CJ$11=0.55),FI68,IF(AND($P$19="Oval",$CJ$11=0.7),FE68,IF(AND($P$19="Oval",$CJ$11=0.9),FE68,"")))))))))</f>
        <v>0</v>
      </c>
      <c r="FP68" s="29">
        <f>IF(MAX(FL$5:FM$104)&lt;0.5,FL68*2,FL68)</f>
        <v>0</v>
      </c>
      <c r="FQ68" s="29">
        <f>IF(MAX(FL$5:FM$104)&lt;0.5,FM68*2,FM68)</f>
        <v>0</v>
      </c>
      <c r="FT68" s="29">
        <f>IF(AND(FP68=0,FQ68=0),FT67,FP68+(0.5*(1-MAX(FP$5:FP$104))))</f>
        <v>0.5</v>
      </c>
      <c r="FU68" s="29">
        <f>IF(AND(FP68=0,FQ68=0),FU67,FQ68+(0.5*(1-MAX(FQ$5:FQ$104))))</f>
        <v>0.21600000000000003</v>
      </c>
      <c r="GK68" s="51">
        <v>64</v>
      </c>
      <c r="GL68" s="51">
        <f t="shared" si="5"/>
        <v>4.0212385965949355</v>
      </c>
      <c r="GM68" s="51">
        <f>($M$66/2000)*SIN(GL68)+($M$66/2000)</f>
        <v>5.7371689306052659E-2</v>
      </c>
      <c r="GN68" s="51">
        <f>($M$66/2000)*COS(GL68)+$M$66/2000</f>
        <v>9.0644002562827619E-2</v>
      </c>
      <c r="GQ68" s="51">
        <f>IF($M$65="Hexagon",FZ68,IF(OR($M$65="Kerbdrain150",$M$65="Kerbdrain280"),GF68,IF(OR($M$65="Channel100",$M$65="Channel150",$M$65="Channel200",$M$65="Channel430"),GB68,IF(AND($M$65="Oval",$CL$11=0.15),GM68,IF(AND($M$65="Oval",$CL$11=0.225),GM68,IF(AND($M$65="Oval",$CL$11=0.35),GM68,IF(AND($M$65="Oval",$CL$11=0.55),GM68,IF(AND($M$65="Oval",$CL$11=0.7),GI68,IF(AND($M$65="Oval",$CL$11=0.9),GI68,"")))))))))</f>
        <v>0</v>
      </c>
      <c r="GR68" s="51">
        <f>IF($M$65="Hexagon",GA68,IF(OR($M$65="Kerbdrain150",$M$65="Kerbdrain280"),GG68,IF(OR($M$65="Channel100",$M$65="Channel150",$M$65="Channel200",$M$65="Channel430"),GC68,IF(AND($M$65="Oval",$CL$11=0.15),GN68,IF(AND($M$65="Oval",$CL$11=0.225),GN68,IF(AND($M$65="Oval",$CL$11=0.35),GN68,IF(AND($M$65="Oval",$CL$11=0.55),GN68,IF(AND($M$65="Oval",$CL$11=0.7),GJ68,IF(AND($M$65="Oval",$CL$11=0.9),GJ68,"")))))))))</f>
        <v>0</v>
      </c>
      <c r="GU68" s="51">
        <f>IF(MAX(GQ$5:GR$104)&lt;0.5,GQ68*2,GQ68)</f>
        <v>0</v>
      </c>
      <c r="GV68" s="51">
        <f>IF(MAX(GQ$5:GR$104)&lt;0.5,GR68*2,GR68)</f>
        <v>0</v>
      </c>
      <c r="GY68" s="51">
        <f>IF(AND(GU68=0,GV68=0),GY67,GU68+(0.5*(1-MAX(GU$5:GU$104))))</f>
        <v>0.5</v>
      </c>
      <c r="GZ68" s="51">
        <f>IF(AND(GU68=0,GV68=0),GZ67,GV68+(0.5*(1-MAX(GV$5:GV$104))))</f>
        <v>0.21600000000000003</v>
      </c>
    </row>
    <row r="69" spans="2:208">
      <c r="B69" s="9"/>
      <c r="C69" s="10"/>
      <c r="D69" s="10"/>
      <c r="E69" s="10"/>
      <c r="F69" s="11"/>
      <c r="G69" s="70"/>
      <c r="H69" s="118" t="s">
        <v>136</v>
      </c>
      <c r="I69" s="119"/>
      <c r="J69" s="119"/>
      <c r="K69" s="119"/>
      <c r="L69" s="119"/>
      <c r="M69" s="119"/>
      <c r="N69" s="119"/>
      <c r="O69" s="119"/>
      <c r="P69" s="119"/>
      <c r="Q69" s="119"/>
      <c r="R69" s="119"/>
      <c r="S69" s="120"/>
      <c r="T69" s="120"/>
      <c r="U69" s="120"/>
      <c r="V69" s="121"/>
      <c r="W69" s="122">
        <f>(2.66*CL$12^1.25)*((6.74*(CJ$22/100)^0.7)+0.4+(P$62/CL$11)*CJ$23)*1000</f>
        <v>321.08190732161933</v>
      </c>
      <c r="X69" s="123"/>
      <c r="Y69" s="124"/>
      <c r="Z69" s="125" t="s">
        <v>2</v>
      </c>
      <c r="AA69" s="126"/>
      <c r="AB69" s="41"/>
      <c r="AC69" s="41"/>
      <c r="AD69" s="41"/>
      <c r="AE69" s="67"/>
      <c r="AF69" s="127" t="str">
        <f>IF(OR(W68&lt;W69,W68=0),"Acceptable","Too Small")</f>
        <v>Acceptable</v>
      </c>
      <c r="AG69" s="128"/>
      <c r="AH69" s="128"/>
      <c r="AI69" s="128"/>
      <c r="AJ69" s="129"/>
      <c r="AK69" s="54"/>
      <c r="AL69" s="54"/>
      <c r="BP69" s="54"/>
      <c r="BQ69" s="54"/>
      <c r="BR69" s="54"/>
      <c r="BS69" s="54"/>
      <c r="BT69" s="54"/>
      <c r="BU69" s="54"/>
      <c r="BV69" s="54"/>
      <c r="BW69" s="54"/>
      <c r="BX69" s="54"/>
      <c r="BY69" s="54"/>
      <c r="BZ69" s="54"/>
      <c r="CA69" s="54"/>
      <c r="CB69" s="54">
        <v>0.1</v>
      </c>
      <c r="CC69" s="54">
        <f>(2.66*CJ$12^1.25)*((6.74*(CB69/100)^0.7)+0.4+(P$15/CJ$11)*P$16)*1000</f>
        <v>208.58498152980326</v>
      </c>
      <c r="CD69" s="54"/>
      <c r="CE69" s="54"/>
      <c r="CF69" s="54"/>
      <c r="CG69" s="33"/>
      <c r="CI69" s="53" t="s">
        <v>90</v>
      </c>
      <c r="CJ69" s="29">
        <f>IF(CJ64="N/A","N/A",CJ$27*CJ67+CJ60)</f>
        <v>233.27777777777777</v>
      </c>
      <c r="EB69" s="1">
        <f>H24</f>
        <v>0</v>
      </c>
      <c r="EC69" s="30">
        <f>W24</f>
        <v>0</v>
      </c>
      <c r="ED69" s="1">
        <f t="shared" si="34"/>
        <v>0</v>
      </c>
      <c r="EG69" s="29" t="s">
        <v>38</v>
      </c>
      <c r="EH69" s="29">
        <v>1</v>
      </c>
      <c r="EI69" s="29">
        <v>48.5</v>
      </c>
      <c r="EJ69" s="29">
        <v>34.799999999999997</v>
      </c>
      <c r="EK69" s="29">
        <v>28</v>
      </c>
      <c r="EL69" s="29">
        <v>19</v>
      </c>
      <c r="EM69" s="29">
        <v>15</v>
      </c>
      <c r="EN69" s="29">
        <v>12.7</v>
      </c>
      <c r="EO69" s="29">
        <v>8.3000000000000007</v>
      </c>
      <c r="EP69" s="29">
        <v>5.4</v>
      </c>
      <c r="EQ69" s="29">
        <v>3</v>
      </c>
      <c r="FF69" s="29">
        <v>65</v>
      </c>
      <c r="FG69" s="29">
        <f t="shared" ref="FG69:FG104" si="35">FF69%*2*PI()</f>
        <v>4.0840704496667311</v>
      </c>
      <c r="FH69" s="29">
        <f>($P$20/2000)*SIN(FG69)+($P$20/2000)</f>
        <v>4.7745751406263165E-2</v>
      </c>
      <c r="FI69" s="29">
        <f>($P$20/2000)*COS(FG69)+$P$20/2000</f>
        <v>0.10305368692688169</v>
      </c>
      <c r="FL69" s="29">
        <f>IF($P$19="Hexagon",EU69,IF(OR($P$19="Kerbdrain150",$P$19="Kerbdrain280"),FA69,IF(OR($P$19="Channel100",$P$19="Channel150",$P$19="Channel200",$P$19="Channel430"),EW69,IF(AND($P$19="Oval",$CJ$11=0.15),FH69,IF(AND($P$19="Oval",$CJ$11=0.225),FH69,IF(AND($P$19="Oval",$CJ$11=0.35),FH69,IF(AND($P$19="Oval",$CJ$11=0.55),FH69,IF(AND($P$19="Oval",$CJ$11=0.7),FD69,IF(AND($P$19="Oval",$CJ$11=0.9),FD69,"")))))))))</f>
        <v>0</v>
      </c>
      <c r="FM69" s="29">
        <f>IF($P$19="Hexagon",EV69,IF(OR($P$19="Kerbdrain150",$P$19="Kerbdrain280"),FB69,IF(OR($P$19="Channel100",$P$19="Channel150",$P$19="Channel200",$P$19="Channel430"),EX69,IF(AND($P$19="Oval",$CJ$11=0.15),FI69,IF(AND($P$19="Oval",$CJ$11=0.225),FI69,IF(AND($P$19="Oval",$CJ$11=0.35),FI69,IF(AND($P$19="Oval",$CJ$11=0.55),FI69,IF(AND($P$19="Oval",$CJ$11=0.7),FE69,IF(AND($P$19="Oval",$CJ$11=0.9),FE69,"")))))))))</f>
        <v>0</v>
      </c>
      <c r="FP69" s="29">
        <f>IF(MAX(FL$5:FM$104)&lt;0.5,FL69*2,FL69)</f>
        <v>0</v>
      </c>
      <c r="FQ69" s="29">
        <f>IF(MAX(FL$5:FM$104)&lt;0.5,FM69*2,FM69)</f>
        <v>0</v>
      </c>
      <c r="FT69" s="29">
        <f>IF(AND(FP69=0,FQ69=0),FT68,FP69+(0.5*(1-MAX(FP$5:FP$104))))</f>
        <v>0.5</v>
      </c>
      <c r="FU69" s="29">
        <f>IF(AND(FP69=0,FQ69=0),FU68,FQ69+(0.5*(1-MAX(FQ$5:FQ$104))))</f>
        <v>0.21600000000000003</v>
      </c>
      <c r="GK69" s="51">
        <v>65</v>
      </c>
      <c r="GL69" s="51">
        <f t="shared" si="5"/>
        <v>4.0840704496667311</v>
      </c>
      <c r="GM69" s="51">
        <f>($M$66/2000)*SIN(GL69)+($M$66/2000)</f>
        <v>4.7745751406263165E-2</v>
      </c>
      <c r="GN69" s="51">
        <f>($M$66/2000)*COS(GL69)+$M$66/2000</f>
        <v>0.10305368692688169</v>
      </c>
      <c r="GQ69" s="51">
        <f>IF($M$65="Hexagon",FZ69,IF(OR($M$65="Kerbdrain150",$M$65="Kerbdrain280"),GF69,IF(OR($M$65="Channel100",$M$65="Channel150",$M$65="Channel200",$M$65="Channel430"),GB69,IF(AND($M$65="Oval",$CL$11=0.15),GM69,IF(AND($M$65="Oval",$CL$11=0.225),GM69,IF(AND($M$65="Oval",$CL$11=0.35),GM69,IF(AND($M$65="Oval",$CL$11=0.55),GM69,IF(AND($M$65="Oval",$CL$11=0.7),GI69,IF(AND($M$65="Oval",$CL$11=0.9),GI69,"")))))))))</f>
        <v>0</v>
      </c>
      <c r="GR69" s="51">
        <f>IF($M$65="Hexagon",GA69,IF(OR($M$65="Kerbdrain150",$M$65="Kerbdrain280"),GG69,IF(OR($M$65="Channel100",$M$65="Channel150",$M$65="Channel200",$M$65="Channel430"),GC69,IF(AND($M$65="Oval",$CL$11=0.15),GN69,IF(AND($M$65="Oval",$CL$11=0.225),GN69,IF(AND($M$65="Oval",$CL$11=0.35),GN69,IF(AND($M$65="Oval",$CL$11=0.55),GN69,IF(AND($M$65="Oval",$CL$11=0.7),GJ69,IF(AND($M$65="Oval",$CL$11=0.9),GJ69,"")))))))))</f>
        <v>0</v>
      </c>
      <c r="GU69" s="51">
        <f>IF(MAX(GQ$5:GR$104)&lt;0.5,GQ69*2,GQ69)</f>
        <v>0</v>
      </c>
      <c r="GV69" s="51">
        <f>IF(MAX(GQ$5:GR$104)&lt;0.5,GR69*2,GR69)</f>
        <v>0</v>
      </c>
      <c r="GY69" s="51">
        <f>IF(AND(GU69=0,GV69=0),GY68,GU69+(0.5*(1-MAX(GU$5:GU$104))))</f>
        <v>0.5</v>
      </c>
      <c r="GZ69" s="51">
        <f>IF(AND(GU69=0,GV69=0),GZ68,GV69+(0.5*(1-MAX(GV$5:GV$104))))</f>
        <v>0.21600000000000003</v>
      </c>
    </row>
    <row r="70" spans="2:208" ht="15.75" thickBot="1">
      <c r="B70" s="9"/>
      <c r="C70" s="10"/>
      <c r="D70" s="10"/>
      <c r="E70" s="10"/>
      <c r="F70" s="11"/>
      <c r="G70" s="70"/>
      <c r="H70" s="37"/>
      <c r="I70" s="37"/>
      <c r="J70" s="37"/>
      <c r="K70" s="37"/>
      <c r="L70" s="37"/>
      <c r="M70" s="37"/>
      <c r="N70" s="37"/>
      <c r="O70" s="37"/>
      <c r="P70" s="37"/>
      <c r="Q70" s="37"/>
      <c r="R70" s="37"/>
      <c r="S70" s="37"/>
      <c r="T70" s="37"/>
      <c r="U70" s="41"/>
      <c r="V70" s="41"/>
      <c r="W70" s="41"/>
      <c r="X70" s="41"/>
      <c r="Y70" s="41"/>
      <c r="Z70" s="41"/>
      <c r="AA70" s="41"/>
      <c r="AB70" s="41"/>
      <c r="AC70" s="41"/>
      <c r="AD70" s="41"/>
      <c r="AE70" s="67"/>
      <c r="AF70" s="42"/>
      <c r="AG70" s="41"/>
      <c r="AH70" s="41"/>
      <c r="AI70" s="41"/>
      <c r="AJ70" s="43"/>
      <c r="AK70" s="54"/>
      <c r="AL70" s="54"/>
      <c r="BP70" s="54"/>
      <c r="BQ70" s="54"/>
      <c r="BR70" s="54"/>
      <c r="BS70" s="54"/>
      <c r="BT70" s="54"/>
      <c r="BU70" s="54"/>
      <c r="BV70" s="54"/>
      <c r="BW70" s="54"/>
      <c r="BX70" s="54"/>
      <c r="BY70" s="54"/>
      <c r="BZ70" s="54"/>
      <c r="CA70" s="54"/>
      <c r="CB70" s="54">
        <v>0.5</v>
      </c>
      <c r="CC70" s="54">
        <f>(2.66*CJ$12^1.25)*((6.74*(CB70/100)^0.7)+0.4+(P$15/CJ$11)*P$16)*1000</f>
        <v>252.43680745241019</v>
      </c>
      <c r="CD70" s="54"/>
      <c r="CE70" s="54"/>
      <c r="CF70" s="54"/>
      <c r="CG70" s="33"/>
      <c r="CI70" s="53" t="s">
        <v>91</v>
      </c>
      <c r="CJ70" s="29">
        <f>IF(CJ64="N/A","N/A",(2.66*CJ66^1.25)*((6.74*(CJ$22/100)^0.7)+0.4+(CJ68/CJ65)*CJ$23)*1000)</f>
        <v>313.77889484872389</v>
      </c>
      <c r="EB70" s="1">
        <f>H25</f>
        <v>0</v>
      </c>
      <c r="EC70" s="30">
        <f>W25</f>
        <v>0</v>
      </c>
      <c r="ED70" s="1">
        <f t="shared" si="34"/>
        <v>0</v>
      </c>
      <c r="EG70" s="29">
        <v>20</v>
      </c>
      <c r="EH70" s="29">
        <v>2</v>
      </c>
      <c r="EI70" s="29">
        <v>59.3</v>
      </c>
      <c r="EJ70" s="29">
        <v>44.3</v>
      </c>
      <c r="EK70" s="29">
        <v>36.1</v>
      </c>
      <c r="EL70" s="29">
        <v>24.5</v>
      </c>
      <c r="EM70" s="29">
        <v>19.2</v>
      </c>
      <c r="EN70" s="29">
        <v>16.100000000000001</v>
      </c>
      <c r="EO70" s="29">
        <v>10.4</v>
      </c>
      <c r="EP70" s="29">
        <v>6.6</v>
      </c>
      <c r="EQ70" s="29">
        <v>4</v>
      </c>
      <c r="FF70" s="29">
        <v>66</v>
      </c>
      <c r="FG70" s="29">
        <f t="shared" si="35"/>
        <v>4.1469023027385274</v>
      </c>
      <c r="FH70" s="29">
        <f>($P$20/2000)*SIN(FG70)+($P$20/2000)</f>
        <v>3.8918018624496176E-2</v>
      </c>
      <c r="FI70" s="29">
        <f>($P$20/2000)*COS(FG70)+$P$20/2000</f>
        <v>0.11604330125525092</v>
      </c>
      <c r="FL70" s="29">
        <f>IF($P$19="Hexagon",EU70,IF(OR($P$19="Kerbdrain150",$P$19="Kerbdrain280"),FA70,IF(OR($P$19="Channel100",$P$19="Channel150",$P$19="Channel200",$P$19="Channel430"),EW70,IF(AND($P$19="Oval",$CJ$11=0.15),FH70,IF(AND($P$19="Oval",$CJ$11=0.225),FH70,IF(AND($P$19="Oval",$CJ$11=0.35),FH70,IF(AND($P$19="Oval",$CJ$11=0.55),FH70,IF(AND($P$19="Oval",$CJ$11=0.7),FD70,IF(AND($P$19="Oval",$CJ$11=0.9),FD70,"")))))))))</f>
        <v>0</v>
      </c>
      <c r="FM70" s="29">
        <f>IF($P$19="Hexagon",EV70,IF(OR($P$19="Kerbdrain150",$P$19="Kerbdrain280"),FB70,IF(OR($P$19="Channel100",$P$19="Channel150",$P$19="Channel200",$P$19="Channel430"),EX70,IF(AND($P$19="Oval",$CJ$11=0.15),FI70,IF(AND($P$19="Oval",$CJ$11=0.225),FI70,IF(AND($P$19="Oval",$CJ$11=0.35),FI70,IF(AND($P$19="Oval",$CJ$11=0.55),FI70,IF(AND($P$19="Oval",$CJ$11=0.7),FE70,IF(AND($P$19="Oval",$CJ$11=0.9),FE70,"")))))))))</f>
        <v>0</v>
      </c>
      <c r="FP70" s="29">
        <f>IF(MAX(FL$5:FM$104)&lt;0.5,FL70*2,FL70)</f>
        <v>0</v>
      </c>
      <c r="FQ70" s="29">
        <f>IF(MAX(FL$5:FM$104)&lt;0.5,FM70*2,FM70)</f>
        <v>0</v>
      </c>
      <c r="FT70" s="29">
        <f>IF(AND(FP70=0,FQ70=0),FT69,FP70+(0.5*(1-MAX(FP$5:FP$104))))</f>
        <v>0.5</v>
      </c>
      <c r="FU70" s="29">
        <f>IF(AND(FP70=0,FQ70=0),FU69,FQ70+(0.5*(1-MAX(FQ$5:FQ$104))))</f>
        <v>0.21600000000000003</v>
      </c>
      <c r="GK70" s="51">
        <v>66</v>
      </c>
      <c r="GL70" s="51">
        <f t="shared" ref="GL70:GL105" si="36">GK70%*2*PI()</f>
        <v>4.1469023027385274</v>
      </c>
      <c r="GM70" s="51">
        <f>($M$66/2000)*SIN(GL70)+($M$66/2000)</f>
        <v>3.8918018624496176E-2</v>
      </c>
      <c r="GN70" s="51">
        <f>($M$66/2000)*COS(GL70)+$M$66/2000</f>
        <v>0.11604330125525092</v>
      </c>
      <c r="GQ70" s="51">
        <f>IF($M$65="Hexagon",FZ70,IF(OR($M$65="Kerbdrain150",$M$65="Kerbdrain280"),GF70,IF(OR($M$65="Channel100",$M$65="Channel150",$M$65="Channel200",$M$65="Channel430"),GB70,IF(AND($M$65="Oval",$CL$11=0.15),GM70,IF(AND($M$65="Oval",$CL$11=0.225),GM70,IF(AND($M$65="Oval",$CL$11=0.35),GM70,IF(AND($M$65="Oval",$CL$11=0.55),GM70,IF(AND($M$65="Oval",$CL$11=0.7),GI70,IF(AND($M$65="Oval",$CL$11=0.9),GI70,"")))))))))</f>
        <v>0</v>
      </c>
      <c r="GR70" s="51">
        <f>IF($M$65="Hexagon",GA70,IF(OR($M$65="Kerbdrain150",$M$65="Kerbdrain280"),GG70,IF(OR($M$65="Channel100",$M$65="Channel150",$M$65="Channel200",$M$65="Channel430"),GC70,IF(AND($M$65="Oval",$CL$11=0.15),GN70,IF(AND($M$65="Oval",$CL$11=0.225),GN70,IF(AND($M$65="Oval",$CL$11=0.35),GN70,IF(AND($M$65="Oval",$CL$11=0.55),GN70,IF(AND($M$65="Oval",$CL$11=0.7),GJ70,IF(AND($M$65="Oval",$CL$11=0.9),GJ70,"")))))))))</f>
        <v>0</v>
      </c>
      <c r="GU70" s="51">
        <f>IF(MAX(GQ$5:GR$104)&lt;0.5,GQ70*2,GQ70)</f>
        <v>0</v>
      </c>
      <c r="GV70" s="51">
        <f>IF(MAX(GQ$5:GR$104)&lt;0.5,GR70*2,GR70)</f>
        <v>0</v>
      </c>
      <c r="GY70" s="51">
        <f>IF(AND(GU70=0,GV70=0),GY69,GU70+(0.5*(1-MAX(GU$5:GU$104))))</f>
        <v>0.5</v>
      </c>
      <c r="GZ70" s="51">
        <f>IF(AND(GU70=0,GV70=0),GZ69,GV70+(0.5*(1-MAX(GV$5:GV$104))))</f>
        <v>0.21600000000000003</v>
      </c>
    </row>
    <row r="71" spans="2:208">
      <c r="B71" s="9"/>
      <c r="C71" s="10"/>
      <c r="D71" s="10"/>
      <c r="E71" s="10"/>
      <c r="F71" s="11"/>
      <c r="G71" s="70"/>
      <c r="H71" s="80" t="s">
        <v>116</v>
      </c>
      <c r="I71" s="81"/>
      <c r="J71" s="81"/>
      <c r="K71" s="81"/>
      <c r="L71" s="81"/>
      <c r="M71" s="81"/>
      <c r="N71" s="81"/>
      <c r="O71" s="81"/>
      <c r="P71" s="82"/>
      <c r="Q71" s="78">
        <f>HLOOKUP(M$65,CQ$5:CX$11,2,FALSE)</f>
        <v>150</v>
      </c>
      <c r="R71" s="79"/>
      <c r="S71" s="63"/>
      <c r="T71" s="193" t="s">
        <v>19</v>
      </c>
      <c r="U71" s="194"/>
      <c r="V71" s="195"/>
      <c r="W71" s="193" t="str">
        <f>IF(AF69="Too Small","N/A",CJ82&amp;"m")</f>
        <v>4m</v>
      </c>
      <c r="X71" s="194"/>
      <c r="Y71" s="199"/>
      <c r="Z71" s="41"/>
      <c r="AA71" s="41"/>
      <c r="AB71" s="41"/>
      <c r="AC71" s="41"/>
      <c r="AD71" s="41"/>
      <c r="AE71" s="67"/>
      <c r="AF71" s="42"/>
      <c r="AG71" s="41"/>
      <c r="AH71" s="41"/>
      <c r="AI71" s="41"/>
      <c r="AJ71" s="43"/>
      <c r="AK71" s="54"/>
      <c r="AL71" s="54"/>
      <c r="BP71" s="54"/>
      <c r="BQ71" s="54"/>
      <c r="BR71" s="54"/>
      <c r="BS71" s="54"/>
      <c r="BT71" s="54"/>
      <c r="BU71" s="54"/>
      <c r="BV71" s="54"/>
      <c r="BW71" s="54"/>
      <c r="BX71" s="54"/>
      <c r="BY71" s="54"/>
      <c r="BZ71" s="54"/>
      <c r="CA71" s="54"/>
      <c r="CB71" s="54">
        <v>1</v>
      </c>
      <c r="CC71" s="54">
        <f>(2.66*CJ$12^1.25)*((6.74*(CB71/100)^0.7)+0.4+(P$15/CJ$11)*P$16)*1000</f>
        <v>292.956032919493</v>
      </c>
      <c r="CD71" s="54"/>
      <c r="CE71" s="54"/>
      <c r="CF71" s="54"/>
      <c r="CG71" s="33"/>
      <c r="CI71" s="53" t="str">
        <f>IF(CJ70&gt;CJ69*1.2,"Channel Length Can Be Increased",IF(CJ70&gt;CJ69,"Channel Length Is OK","Insufficient Capacity, Decrease Channel Length"))</f>
        <v>Channel Length Can Be Increased</v>
      </c>
      <c r="EB71" s="1">
        <f>H26</f>
        <v>0</v>
      </c>
      <c r="EC71" s="30">
        <f>W26</f>
        <v>0</v>
      </c>
      <c r="ED71" s="1">
        <f t="shared" si="34"/>
        <v>0</v>
      </c>
      <c r="EG71" s="29" t="s">
        <v>39</v>
      </c>
      <c r="EH71" s="29">
        <v>5</v>
      </c>
      <c r="EI71" s="29">
        <v>78.3</v>
      </c>
      <c r="EJ71" s="29">
        <v>58</v>
      </c>
      <c r="EK71" s="29">
        <v>47</v>
      </c>
      <c r="EL71" s="29">
        <v>31.6</v>
      </c>
      <c r="EM71" s="29">
        <v>24.6</v>
      </c>
      <c r="EN71" s="29">
        <v>20.5</v>
      </c>
      <c r="EO71" s="29">
        <v>13</v>
      </c>
      <c r="EP71" s="29">
        <v>8.1999999999999993</v>
      </c>
      <c r="EQ71" s="29">
        <v>5</v>
      </c>
      <c r="FF71" s="29">
        <v>67</v>
      </c>
      <c r="FG71" s="29">
        <f t="shared" si="35"/>
        <v>4.209734155810323</v>
      </c>
      <c r="FH71" s="29">
        <f>($P$20/2000)*SIN(FG71)+($P$20/2000)</f>
        <v>3.0923329989034104E-2</v>
      </c>
      <c r="FI71" s="29">
        <f>($P$20/2000)*COS(FG71)+$P$20/2000</f>
        <v>0.1295615814745712</v>
      </c>
      <c r="FL71" s="29">
        <f>IF($P$19="Hexagon",EU71,IF(OR($P$19="Kerbdrain150",$P$19="Kerbdrain280"),FA71,IF(OR($P$19="Channel100",$P$19="Channel150",$P$19="Channel200",$P$19="Channel430"),EW71,IF(AND($P$19="Oval",$CJ$11=0.15),FH71,IF(AND($P$19="Oval",$CJ$11=0.225),FH71,IF(AND($P$19="Oval",$CJ$11=0.35),FH71,IF(AND($P$19="Oval",$CJ$11=0.55),FH71,IF(AND($P$19="Oval",$CJ$11=0.7),FD71,IF(AND($P$19="Oval",$CJ$11=0.9),FD71,"")))))))))</f>
        <v>0</v>
      </c>
      <c r="FM71" s="29">
        <f>IF($P$19="Hexagon",EV71,IF(OR($P$19="Kerbdrain150",$P$19="Kerbdrain280"),FB71,IF(OR($P$19="Channel100",$P$19="Channel150",$P$19="Channel200",$P$19="Channel430"),EX71,IF(AND($P$19="Oval",$CJ$11=0.15),FI71,IF(AND($P$19="Oval",$CJ$11=0.225),FI71,IF(AND($P$19="Oval",$CJ$11=0.35),FI71,IF(AND($P$19="Oval",$CJ$11=0.55),FI71,IF(AND($P$19="Oval",$CJ$11=0.7),FE71,IF(AND($P$19="Oval",$CJ$11=0.9),FE71,"")))))))))</f>
        <v>0</v>
      </c>
      <c r="FP71" s="29">
        <f>IF(MAX(FL$5:FM$104)&lt;0.5,FL71*2,FL71)</f>
        <v>0</v>
      </c>
      <c r="FQ71" s="29">
        <f>IF(MAX(FL$5:FM$104)&lt;0.5,FM71*2,FM71)</f>
        <v>0</v>
      </c>
      <c r="FT71" s="29">
        <f>IF(AND(FP71=0,FQ71=0),FT70,FP71+(0.5*(1-MAX(FP$5:FP$104))))</f>
        <v>0.5</v>
      </c>
      <c r="FU71" s="29">
        <f>IF(AND(FP71=0,FQ71=0),FU70,FQ71+(0.5*(1-MAX(FQ$5:FQ$104))))</f>
        <v>0.21600000000000003</v>
      </c>
      <c r="GK71" s="51">
        <v>67</v>
      </c>
      <c r="GL71" s="51">
        <f t="shared" si="36"/>
        <v>4.209734155810323</v>
      </c>
      <c r="GM71" s="51">
        <f>($M$66/2000)*SIN(GL71)+($M$66/2000)</f>
        <v>3.0923329989034104E-2</v>
      </c>
      <c r="GN71" s="51">
        <f>($M$66/2000)*COS(GL71)+$M$66/2000</f>
        <v>0.1295615814745712</v>
      </c>
      <c r="GQ71" s="51">
        <f>IF($M$65="Hexagon",FZ71,IF(OR($M$65="Kerbdrain150",$M$65="Kerbdrain280"),GF71,IF(OR($M$65="Channel100",$M$65="Channel150",$M$65="Channel200",$M$65="Channel430"),GB71,IF(AND($M$65="Oval",$CL$11=0.15),GM71,IF(AND($M$65="Oval",$CL$11=0.225),GM71,IF(AND($M$65="Oval",$CL$11=0.35),GM71,IF(AND($M$65="Oval",$CL$11=0.55),GM71,IF(AND($M$65="Oval",$CL$11=0.7),GI71,IF(AND($M$65="Oval",$CL$11=0.9),GI71,"")))))))))</f>
        <v>0</v>
      </c>
      <c r="GR71" s="51">
        <f>IF($M$65="Hexagon",GA71,IF(OR($M$65="Kerbdrain150",$M$65="Kerbdrain280"),GG71,IF(OR($M$65="Channel100",$M$65="Channel150",$M$65="Channel200",$M$65="Channel430"),GC71,IF(AND($M$65="Oval",$CL$11=0.15),GN71,IF(AND($M$65="Oval",$CL$11=0.225),GN71,IF(AND($M$65="Oval",$CL$11=0.35),GN71,IF(AND($M$65="Oval",$CL$11=0.55),GN71,IF(AND($M$65="Oval",$CL$11=0.7),GJ71,IF(AND($M$65="Oval",$CL$11=0.9),GJ71,"")))))))))</f>
        <v>0</v>
      </c>
      <c r="GU71" s="51">
        <f>IF(MAX(GQ$5:GR$104)&lt;0.5,GQ71*2,GQ71)</f>
        <v>0</v>
      </c>
      <c r="GV71" s="51">
        <f>IF(MAX(GQ$5:GR$104)&lt;0.5,GR71*2,GR71)</f>
        <v>0</v>
      </c>
      <c r="GY71" s="51">
        <f>IF(AND(GU71=0,GV71=0),GY70,GU71+(0.5*(1-MAX(GU$5:GU$104))))</f>
        <v>0.5</v>
      </c>
      <c r="GZ71" s="51">
        <f>IF(AND(GU71=0,GV71=0),GZ70,GV71+(0.5*(1-MAX(GV$5:GV$104))))</f>
        <v>0.21600000000000003</v>
      </c>
    </row>
    <row r="72" spans="2:208">
      <c r="B72" s="9"/>
      <c r="C72" s="10"/>
      <c r="D72" s="10"/>
      <c r="E72" s="10"/>
      <c r="F72" s="11"/>
      <c r="G72" s="70"/>
      <c r="H72" s="83" t="s">
        <v>123</v>
      </c>
      <c r="I72" s="84"/>
      <c r="J72" s="84"/>
      <c r="K72" s="84"/>
      <c r="L72" s="84"/>
      <c r="M72" s="84"/>
      <c r="N72" s="84"/>
      <c r="O72" s="84"/>
      <c r="P72" s="85"/>
      <c r="Q72" s="74">
        <f>HLOOKUP(M$65,CQ$5:CX$11,3,FALSE)</f>
        <v>225</v>
      </c>
      <c r="R72" s="75"/>
      <c r="S72" s="62"/>
      <c r="T72" s="196" t="s">
        <v>19</v>
      </c>
      <c r="U72" s="197"/>
      <c r="V72" s="198"/>
      <c r="W72" s="196" t="str">
        <f>IF(AF69="Too Small","N/A",CP82&amp;"m")</f>
        <v>9m</v>
      </c>
      <c r="X72" s="197"/>
      <c r="Y72" s="200"/>
      <c r="Z72" s="41"/>
      <c r="AA72" s="41"/>
      <c r="AB72" s="41"/>
      <c r="AC72" s="41"/>
      <c r="AD72" s="41"/>
      <c r="AE72" s="67"/>
      <c r="AF72" s="42"/>
      <c r="AG72" s="41"/>
      <c r="AH72" s="41"/>
      <c r="AI72" s="41"/>
      <c r="AJ72" s="43"/>
      <c r="AK72" s="54"/>
      <c r="AL72" s="54"/>
      <c r="BP72" s="54"/>
      <c r="BQ72" s="54"/>
      <c r="BR72" s="54"/>
      <c r="BS72" s="54"/>
      <c r="BT72" s="54"/>
      <c r="BU72" s="54"/>
      <c r="BV72" s="54"/>
      <c r="BW72" s="54"/>
      <c r="BX72" s="54"/>
      <c r="BY72" s="54"/>
      <c r="BZ72" s="54"/>
      <c r="CA72" s="54"/>
      <c r="CB72" s="54">
        <v>2</v>
      </c>
      <c r="CC72" s="54">
        <f>(2.66*CJ$12^1.25)*((6.74*(CB72/100)^0.7)+0.4+(P$15/CJ$11)*P$16)*1000</f>
        <v>358.77970888776622</v>
      </c>
      <c r="CD72" s="54"/>
      <c r="CE72" s="54"/>
      <c r="CF72" s="54"/>
      <c r="CG72" s="33"/>
      <c r="EC72" s="30"/>
      <c r="EG72" s="29">
        <v>0.3</v>
      </c>
      <c r="EH72" s="29">
        <v>10</v>
      </c>
      <c r="EI72" s="29">
        <v>89.5</v>
      </c>
      <c r="EJ72" s="29">
        <v>66.900000000000006</v>
      </c>
      <c r="EK72" s="29">
        <v>54.6</v>
      </c>
      <c r="EL72" s="29">
        <v>36.9</v>
      </c>
      <c r="EM72" s="29">
        <v>28.8</v>
      </c>
      <c r="EN72" s="29">
        <v>24</v>
      </c>
      <c r="EO72" s="29">
        <v>15.2</v>
      </c>
      <c r="EP72" s="29">
        <v>9.5</v>
      </c>
      <c r="EQ72" s="29">
        <v>6</v>
      </c>
      <c r="FF72" s="29">
        <v>68</v>
      </c>
      <c r="FG72" s="29">
        <f t="shared" si="35"/>
        <v>4.2725660088821193</v>
      </c>
      <c r="FH72" s="29">
        <f>($P$20/2000)*SIN(FG72)+($P$20/2000)</f>
        <v>2.379323688349505E-2</v>
      </c>
      <c r="FI72" s="29">
        <f>($P$20/2000)*COS(FG72)+$P$20/2000</f>
        <v>0.14355517710873195</v>
      </c>
      <c r="FL72" s="29">
        <f>IF($P$19="Hexagon",EU72,IF(OR($P$19="Kerbdrain150",$P$19="Kerbdrain280"),FA72,IF(OR($P$19="Channel100",$P$19="Channel150",$P$19="Channel200",$P$19="Channel430"),EW72,IF(AND($P$19="Oval",$CJ$11=0.15),FH72,IF(AND($P$19="Oval",$CJ$11=0.225),FH72,IF(AND($P$19="Oval",$CJ$11=0.35),FH72,IF(AND($P$19="Oval",$CJ$11=0.55),FH72,IF(AND($P$19="Oval",$CJ$11=0.7),FD72,IF(AND($P$19="Oval",$CJ$11=0.9),FD72,"")))))))))</f>
        <v>0</v>
      </c>
      <c r="FM72" s="29">
        <f>IF($P$19="Hexagon",EV72,IF(OR($P$19="Kerbdrain150",$P$19="Kerbdrain280"),FB72,IF(OR($P$19="Channel100",$P$19="Channel150",$P$19="Channel200",$P$19="Channel430"),EX72,IF(AND($P$19="Oval",$CJ$11=0.15),FI72,IF(AND($P$19="Oval",$CJ$11=0.225),FI72,IF(AND($P$19="Oval",$CJ$11=0.35),FI72,IF(AND($P$19="Oval",$CJ$11=0.55),FI72,IF(AND($P$19="Oval",$CJ$11=0.7),FE72,IF(AND($P$19="Oval",$CJ$11=0.9),FE72,"")))))))))</f>
        <v>0</v>
      </c>
      <c r="FP72" s="29">
        <f>IF(MAX(FL$5:FM$104)&lt;0.5,FL72*2,FL72)</f>
        <v>0</v>
      </c>
      <c r="FQ72" s="29">
        <f>IF(MAX(FL$5:FM$104)&lt;0.5,FM72*2,FM72)</f>
        <v>0</v>
      </c>
      <c r="FT72" s="29">
        <f>IF(AND(FP72=0,FQ72=0),FT71,FP72+(0.5*(1-MAX(FP$5:FP$104))))</f>
        <v>0.5</v>
      </c>
      <c r="FU72" s="29">
        <f>IF(AND(FP72=0,FQ72=0),FU71,FQ72+(0.5*(1-MAX(FQ$5:FQ$104))))</f>
        <v>0.21600000000000003</v>
      </c>
      <c r="GK72" s="51">
        <v>68</v>
      </c>
      <c r="GL72" s="51">
        <f t="shared" si="36"/>
        <v>4.2725660088821193</v>
      </c>
      <c r="GM72" s="51">
        <f>($M$66/2000)*SIN(GL72)+($M$66/2000)</f>
        <v>2.379323688349505E-2</v>
      </c>
      <c r="GN72" s="51">
        <f>($M$66/2000)*COS(GL72)+$M$66/2000</f>
        <v>0.14355517710873195</v>
      </c>
      <c r="GQ72" s="51">
        <f>IF($M$65="Hexagon",FZ72,IF(OR($M$65="Kerbdrain150",$M$65="Kerbdrain280"),GF72,IF(OR($M$65="Channel100",$M$65="Channel150",$M$65="Channel200",$M$65="Channel430"),GB72,IF(AND($M$65="Oval",$CL$11=0.15),GM72,IF(AND($M$65="Oval",$CL$11=0.225),GM72,IF(AND($M$65="Oval",$CL$11=0.35),GM72,IF(AND($M$65="Oval",$CL$11=0.55),GM72,IF(AND($M$65="Oval",$CL$11=0.7),GI72,IF(AND($M$65="Oval",$CL$11=0.9),GI72,"")))))))))</f>
        <v>0</v>
      </c>
      <c r="GR72" s="51">
        <f>IF($M$65="Hexagon",GA72,IF(OR($M$65="Kerbdrain150",$M$65="Kerbdrain280"),GG72,IF(OR($M$65="Channel100",$M$65="Channel150",$M$65="Channel200",$M$65="Channel430"),GC72,IF(AND($M$65="Oval",$CL$11=0.15),GN72,IF(AND($M$65="Oval",$CL$11=0.225),GN72,IF(AND($M$65="Oval",$CL$11=0.35),GN72,IF(AND($M$65="Oval",$CL$11=0.55),GN72,IF(AND($M$65="Oval",$CL$11=0.7),GJ72,IF(AND($M$65="Oval",$CL$11=0.9),GJ72,"")))))))))</f>
        <v>0</v>
      </c>
      <c r="GU72" s="51">
        <f>IF(MAX(GQ$5:GR$104)&lt;0.5,GQ72*2,GQ72)</f>
        <v>0</v>
      </c>
      <c r="GV72" s="51">
        <f>IF(MAX(GQ$5:GR$104)&lt;0.5,GR72*2,GR72)</f>
        <v>0</v>
      </c>
      <c r="GY72" s="51">
        <f>IF(AND(GU72=0,GV72=0),GY71,GU72+(0.5*(1-MAX(GU$5:GU$104))))</f>
        <v>0.5</v>
      </c>
      <c r="GZ72" s="51">
        <f>IF(AND(GU72=0,GV72=0),GZ71,GV72+(0.5*(1-MAX(GV$5:GV$104))))</f>
        <v>0.21600000000000003</v>
      </c>
    </row>
    <row r="73" spans="2:208">
      <c r="B73" s="9"/>
      <c r="C73" s="10"/>
      <c r="D73" s="10"/>
      <c r="E73" s="10"/>
      <c r="F73" s="11"/>
      <c r="G73" s="70"/>
      <c r="H73" s="83" t="s">
        <v>124</v>
      </c>
      <c r="I73" s="84"/>
      <c r="J73" s="84"/>
      <c r="K73" s="84"/>
      <c r="L73" s="84"/>
      <c r="M73" s="84"/>
      <c r="N73" s="84"/>
      <c r="O73" s="84"/>
      <c r="P73" s="85"/>
      <c r="Q73" s="74">
        <f>HLOOKUP(M$65,CQ$5:CX$11,4,FALSE)</f>
        <v>300</v>
      </c>
      <c r="R73" s="75"/>
      <c r="S73" s="62"/>
      <c r="T73" s="196" t="s">
        <v>19</v>
      </c>
      <c r="U73" s="197"/>
      <c r="V73" s="198"/>
      <c r="W73" s="196" t="str">
        <f>IF(AF69="Too Small","N/A",CV82&amp;"m")</f>
        <v>13m</v>
      </c>
      <c r="X73" s="197"/>
      <c r="Y73" s="200"/>
      <c r="Z73" s="41"/>
      <c r="AA73" s="41"/>
      <c r="AB73" s="41"/>
      <c r="AC73" s="41"/>
      <c r="AD73" s="41"/>
      <c r="AE73" s="67"/>
      <c r="AF73" s="42"/>
      <c r="AG73" s="41"/>
      <c r="AH73" s="41"/>
      <c r="AI73" s="41"/>
      <c r="AJ73" s="43"/>
      <c r="AK73" s="54"/>
      <c r="AL73" s="54"/>
      <c r="BP73" s="54"/>
      <c r="BQ73" s="54"/>
      <c r="BR73" s="54"/>
      <c r="BS73" s="54"/>
      <c r="BT73" s="54"/>
      <c r="BU73" s="54"/>
      <c r="BV73" s="54"/>
      <c r="BW73" s="54"/>
      <c r="BX73" s="54"/>
      <c r="BY73" s="54"/>
      <c r="BZ73" s="54"/>
      <c r="CA73" s="54"/>
      <c r="CB73" s="54">
        <v>3</v>
      </c>
      <c r="CC73" s="54">
        <f>(2.66*CJ$12^1.25)*((6.74*(CB73/100)^0.7)+0.4+(P$15/CJ$11)*P$16)*1000</f>
        <v>414.97598929564214</v>
      </c>
      <c r="CD73" s="54"/>
      <c r="CE73" s="54"/>
      <c r="CF73" s="54"/>
      <c r="CG73" s="33"/>
      <c r="CI73" s="53" t="s">
        <v>101</v>
      </c>
      <c r="CJ73" s="56" t="str">
        <f>IF(HLOOKUP(M$65,CQ$5:CX$11,7,FALSE)&gt;M66,"N/A",HLOOKUP(M$65,CQ$5:CX$11,7,FALSE))</f>
        <v>N/A</v>
      </c>
      <c r="CK73" s="29" t="s">
        <v>71</v>
      </c>
      <c r="EC73" s="30"/>
      <c r="EG73" s="29"/>
      <c r="EH73" s="29">
        <v>15</v>
      </c>
      <c r="EI73" s="29">
        <v>96.8</v>
      </c>
      <c r="EJ73" s="29">
        <v>72.7</v>
      </c>
      <c r="EK73" s="29">
        <v>59.5</v>
      </c>
      <c r="EL73" s="29">
        <v>40.4</v>
      </c>
      <c r="EM73" s="29">
        <v>31.5</v>
      </c>
      <c r="EN73" s="29">
        <v>26.3</v>
      </c>
      <c r="EO73" s="29">
        <v>16.7</v>
      </c>
      <c r="EP73" s="29">
        <v>10.4</v>
      </c>
      <c r="EQ73" s="29">
        <v>6</v>
      </c>
      <c r="FF73" s="29">
        <v>69</v>
      </c>
      <c r="FG73" s="29">
        <f t="shared" si="35"/>
        <v>4.335397861953914</v>
      </c>
      <c r="FH73" s="29">
        <f>($P$20/2000)*SIN(FG73)+($P$20/2000)</f>
        <v>1.7555878527937219E-2</v>
      </c>
      <c r="FI73" s="29">
        <f>($P$20/2000)*COS(FG73)+$P$20/2000</f>
        <v>0.15796886182883035</v>
      </c>
      <c r="FL73" s="29">
        <f>IF($P$19="Hexagon",EU73,IF(OR($P$19="Kerbdrain150",$P$19="Kerbdrain280"),FA73,IF(OR($P$19="Channel100",$P$19="Channel150",$P$19="Channel200",$P$19="Channel430"),EW73,IF(AND($P$19="Oval",$CJ$11=0.15),FH73,IF(AND($P$19="Oval",$CJ$11=0.225),FH73,IF(AND($P$19="Oval",$CJ$11=0.35),FH73,IF(AND($P$19="Oval",$CJ$11=0.55),FH73,IF(AND($P$19="Oval",$CJ$11=0.7),FD73,IF(AND($P$19="Oval",$CJ$11=0.9),FD73,"")))))))))</f>
        <v>0</v>
      </c>
      <c r="FM73" s="29">
        <f>IF($P$19="Hexagon",EV73,IF(OR($P$19="Kerbdrain150",$P$19="Kerbdrain280"),FB73,IF(OR($P$19="Channel100",$P$19="Channel150",$P$19="Channel200",$P$19="Channel430"),EX73,IF(AND($P$19="Oval",$CJ$11=0.15),FI73,IF(AND($P$19="Oval",$CJ$11=0.225),FI73,IF(AND($P$19="Oval",$CJ$11=0.35),FI73,IF(AND($P$19="Oval",$CJ$11=0.55),FI73,IF(AND($P$19="Oval",$CJ$11=0.7),FE73,IF(AND($P$19="Oval",$CJ$11=0.9),FE73,"")))))))))</f>
        <v>0</v>
      </c>
      <c r="FP73" s="29">
        <f>IF(MAX(FL$5:FM$104)&lt;0.5,FL73*2,FL73)</f>
        <v>0</v>
      </c>
      <c r="FQ73" s="29">
        <f>IF(MAX(FL$5:FM$104)&lt;0.5,FM73*2,FM73)</f>
        <v>0</v>
      </c>
      <c r="FT73" s="29">
        <f>IF(AND(FP73=0,FQ73=0),FT72,FP73+(0.5*(1-MAX(FP$5:FP$104))))</f>
        <v>0.5</v>
      </c>
      <c r="FU73" s="29">
        <f>IF(AND(FP73=0,FQ73=0),FU72,FQ73+(0.5*(1-MAX(FQ$5:FQ$104))))</f>
        <v>0.21600000000000003</v>
      </c>
      <c r="GK73" s="51">
        <v>69</v>
      </c>
      <c r="GL73" s="51">
        <f t="shared" si="36"/>
        <v>4.335397861953914</v>
      </c>
      <c r="GM73" s="51">
        <f>($M$66/2000)*SIN(GL73)+($M$66/2000)</f>
        <v>1.7555878527937219E-2</v>
      </c>
      <c r="GN73" s="51">
        <f>($M$66/2000)*COS(GL73)+$M$66/2000</f>
        <v>0.15796886182883035</v>
      </c>
      <c r="GQ73" s="51">
        <f>IF($M$65="Hexagon",FZ73,IF(OR($M$65="Kerbdrain150",$M$65="Kerbdrain280"),GF73,IF(OR($M$65="Channel100",$M$65="Channel150",$M$65="Channel200",$M$65="Channel430"),GB73,IF(AND($M$65="Oval",$CL$11=0.15),GM73,IF(AND($M$65="Oval",$CL$11=0.225),GM73,IF(AND($M$65="Oval",$CL$11=0.35),GM73,IF(AND($M$65="Oval",$CL$11=0.55),GM73,IF(AND($M$65="Oval",$CL$11=0.7),GI73,IF(AND($M$65="Oval",$CL$11=0.9),GI73,"")))))))))</f>
        <v>0</v>
      </c>
      <c r="GR73" s="51">
        <f>IF($M$65="Hexagon",GA73,IF(OR($M$65="Kerbdrain150",$M$65="Kerbdrain280"),GG73,IF(OR($M$65="Channel100",$M$65="Channel150",$M$65="Channel200",$M$65="Channel430"),GC73,IF(AND($M$65="Oval",$CL$11=0.15),GN73,IF(AND($M$65="Oval",$CL$11=0.225),GN73,IF(AND($M$65="Oval",$CL$11=0.35),GN73,IF(AND($M$65="Oval",$CL$11=0.55),GN73,IF(AND($M$65="Oval",$CL$11=0.7),GJ73,IF(AND($M$65="Oval",$CL$11=0.9),GJ73,"")))))))))</f>
        <v>0</v>
      </c>
      <c r="GU73" s="51">
        <f>IF(MAX(GQ$5:GR$104)&lt;0.5,GQ73*2,GQ73)</f>
        <v>0</v>
      </c>
      <c r="GV73" s="51">
        <f>IF(MAX(GQ$5:GR$104)&lt;0.5,GR73*2,GR73)</f>
        <v>0</v>
      </c>
      <c r="GY73" s="51">
        <f>IF(AND(GU73=0,GV73=0),GY72,GU73+(0.5*(1-MAX(GU$5:GU$104))))</f>
        <v>0.5</v>
      </c>
      <c r="GZ73" s="51">
        <f>IF(AND(GU73=0,GV73=0),GZ72,GV73+(0.5*(1-MAX(GV$5:GV$104))))</f>
        <v>0.21600000000000003</v>
      </c>
    </row>
    <row r="74" spans="2:208">
      <c r="B74" s="9"/>
      <c r="C74" s="10"/>
      <c r="D74" s="10"/>
      <c r="E74" s="10"/>
      <c r="F74" s="11"/>
      <c r="G74" s="70"/>
      <c r="H74" s="83" t="s">
        <v>125</v>
      </c>
      <c r="I74" s="84"/>
      <c r="J74" s="84"/>
      <c r="K74" s="84"/>
      <c r="L74" s="84"/>
      <c r="M74" s="84"/>
      <c r="N74" s="84"/>
      <c r="O74" s="84"/>
      <c r="P74" s="85"/>
      <c r="Q74" s="74">
        <f>HLOOKUP(M$65,CQ$5:CX$11,5,FALSE)</f>
        <v>400</v>
      </c>
      <c r="R74" s="75"/>
      <c r="S74" s="62"/>
      <c r="T74" s="196" t="s">
        <v>19</v>
      </c>
      <c r="U74" s="197"/>
      <c r="V74" s="198"/>
      <c r="W74" s="196" t="str">
        <f>IF(AF69="Too Small","N/A",DB82&amp;"m")</f>
        <v>30m</v>
      </c>
      <c r="X74" s="197"/>
      <c r="Y74" s="200"/>
      <c r="Z74" s="41"/>
      <c r="AA74" s="41"/>
      <c r="AB74" s="41"/>
      <c r="AC74" s="41"/>
      <c r="AD74" s="41"/>
      <c r="AE74" s="67"/>
      <c r="AF74" s="42"/>
      <c r="AG74" s="41"/>
      <c r="AH74" s="41"/>
      <c r="AI74" s="41"/>
      <c r="AJ74" s="43"/>
      <c r="AK74" s="54"/>
      <c r="AL74" s="54"/>
      <c r="BP74" s="54"/>
      <c r="BQ74" s="54"/>
      <c r="BR74" s="54"/>
      <c r="BS74" s="54"/>
      <c r="BT74" s="54"/>
      <c r="BU74" s="54"/>
      <c r="BV74" s="54"/>
      <c r="BW74" s="54"/>
      <c r="BX74" s="54"/>
      <c r="BY74" s="54"/>
      <c r="BZ74" s="54"/>
      <c r="CA74" s="54"/>
      <c r="CB74" s="54">
        <v>4</v>
      </c>
      <c r="CC74" s="54">
        <f>(2.66*CJ$12^1.25)*((6.74*(CB74/100)^0.7)+0.4+(P$15/CJ$11)*P$16)*1000</f>
        <v>465.71058597217882</v>
      </c>
      <c r="CD74" s="54"/>
      <c r="CE74" s="54"/>
      <c r="CF74" s="54"/>
      <c r="CG74" s="33"/>
      <c r="CH74" s="29" t="s">
        <v>73</v>
      </c>
      <c r="CI74" s="53" t="s">
        <v>74</v>
      </c>
      <c r="CJ74" s="56" t="str">
        <f>IF(CJ73="N/A","N/A",HLOOKUP(M$65,CQ$13:CX$19,7,FALSE))</f>
        <v>N/A</v>
      </c>
      <c r="CK74" s="29" t="s">
        <v>1</v>
      </c>
      <c r="EG74" s="29"/>
      <c r="EH74" s="29">
        <v>20</v>
      </c>
      <c r="EI74" s="29">
        <v>102.3</v>
      </c>
      <c r="EJ74" s="29">
        <v>77.2</v>
      </c>
      <c r="EK74" s="29">
        <v>63.3</v>
      </c>
      <c r="EL74" s="29">
        <v>43</v>
      </c>
      <c r="EM74" s="29">
        <v>33.700000000000003</v>
      </c>
      <c r="EN74" s="29">
        <v>28.1</v>
      </c>
      <c r="EO74" s="29">
        <v>17.8</v>
      </c>
      <c r="EP74" s="29">
        <v>11</v>
      </c>
      <c r="EQ74" s="29">
        <v>7</v>
      </c>
      <c r="FF74" s="29">
        <v>70</v>
      </c>
      <c r="FG74" s="29">
        <f t="shared" si="35"/>
        <v>4.3982297150257104</v>
      </c>
      <c r="FH74" s="29">
        <f>($P$20/2000)*SIN(FG74)+($P$20/2000)</f>
        <v>1.2235870926211617E-2</v>
      </c>
      <c r="FI74" s="29">
        <f>($P$20/2000)*COS(FG74)+$P$20/2000</f>
        <v>0.17274575140626311</v>
      </c>
      <c r="FL74" s="29">
        <f>IF($P$19="Hexagon",EU74,IF(OR($P$19="Kerbdrain150",$P$19="Kerbdrain280"),FA74,IF(OR($P$19="Channel100",$P$19="Channel150",$P$19="Channel200",$P$19="Channel430"),EW74,IF(AND($P$19="Oval",$CJ$11=0.15),FH74,IF(AND($P$19="Oval",$CJ$11=0.225),FH74,IF(AND($P$19="Oval",$CJ$11=0.35),FH74,IF(AND($P$19="Oval",$CJ$11=0.55),FH74,IF(AND($P$19="Oval",$CJ$11=0.7),FD74,IF(AND($P$19="Oval",$CJ$11=0.9),FD74,"")))))))))</f>
        <v>0</v>
      </c>
      <c r="FM74" s="29">
        <f>IF($P$19="Hexagon",EV74,IF(OR($P$19="Kerbdrain150",$P$19="Kerbdrain280"),FB74,IF(OR($P$19="Channel100",$P$19="Channel150",$P$19="Channel200",$P$19="Channel430"),EX74,IF(AND($P$19="Oval",$CJ$11=0.15),FI74,IF(AND($P$19="Oval",$CJ$11=0.225),FI74,IF(AND($P$19="Oval",$CJ$11=0.35),FI74,IF(AND($P$19="Oval",$CJ$11=0.55),FI74,IF(AND($P$19="Oval",$CJ$11=0.7),FE74,IF(AND($P$19="Oval",$CJ$11=0.9),FE74,"")))))))))</f>
        <v>0</v>
      </c>
      <c r="FP74" s="29">
        <f>IF(MAX(FL$5:FM$104)&lt;0.5,FL74*2,FL74)</f>
        <v>0</v>
      </c>
      <c r="FQ74" s="29">
        <f>IF(MAX(FL$5:FM$104)&lt;0.5,FM74*2,FM74)</f>
        <v>0</v>
      </c>
      <c r="FT74" s="29">
        <f>IF(AND(FP74=0,FQ74=0),FT73,FP74+(0.5*(1-MAX(FP$5:FP$104))))</f>
        <v>0.5</v>
      </c>
      <c r="FU74" s="29">
        <f>IF(AND(FP74=0,FQ74=0),FU73,FQ74+(0.5*(1-MAX(FQ$5:FQ$104))))</f>
        <v>0.21600000000000003</v>
      </c>
      <c r="GK74" s="51">
        <v>70</v>
      </c>
      <c r="GL74" s="51">
        <f t="shared" si="36"/>
        <v>4.3982297150257104</v>
      </c>
      <c r="GM74" s="51">
        <f>($M$66/2000)*SIN(GL74)+($M$66/2000)</f>
        <v>1.2235870926211617E-2</v>
      </c>
      <c r="GN74" s="51">
        <f>($M$66/2000)*COS(GL74)+$M$66/2000</f>
        <v>0.17274575140626311</v>
      </c>
      <c r="GQ74" s="51">
        <f>IF($M$65="Hexagon",FZ74,IF(OR($M$65="Kerbdrain150",$M$65="Kerbdrain280"),GF74,IF(OR($M$65="Channel100",$M$65="Channel150",$M$65="Channel200",$M$65="Channel430"),GB74,IF(AND($M$65="Oval",$CL$11=0.15),GM74,IF(AND($M$65="Oval",$CL$11=0.225),GM74,IF(AND($M$65="Oval",$CL$11=0.35),GM74,IF(AND($M$65="Oval",$CL$11=0.55),GM74,IF(AND($M$65="Oval",$CL$11=0.7),GI74,IF(AND($M$65="Oval",$CL$11=0.9),GI74,"")))))))))</f>
        <v>0</v>
      </c>
      <c r="GR74" s="51">
        <f>IF($M$65="Hexagon",GA74,IF(OR($M$65="Kerbdrain150",$M$65="Kerbdrain280"),GG74,IF(OR($M$65="Channel100",$M$65="Channel150",$M$65="Channel200",$M$65="Channel430"),GC74,IF(AND($M$65="Oval",$CL$11=0.15),GN74,IF(AND($M$65="Oval",$CL$11=0.225),GN74,IF(AND($M$65="Oval",$CL$11=0.35),GN74,IF(AND($M$65="Oval",$CL$11=0.55),GN74,IF(AND($M$65="Oval",$CL$11=0.7),GJ74,IF(AND($M$65="Oval",$CL$11=0.9),GJ74,"")))))))))</f>
        <v>0</v>
      </c>
      <c r="GU74" s="51">
        <f>IF(MAX(GQ$5:GR$104)&lt;0.5,GQ74*2,GQ74)</f>
        <v>0</v>
      </c>
      <c r="GV74" s="51">
        <f>IF(MAX(GQ$5:GR$104)&lt;0.5,GR74*2,GR74)</f>
        <v>0</v>
      </c>
      <c r="GY74" s="51">
        <f>IF(AND(GU74=0,GV74=0),GY73,GU74+(0.5*(1-MAX(GU$5:GU$104))))</f>
        <v>0.5</v>
      </c>
      <c r="GZ74" s="51">
        <f>IF(AND(GU74=0,GV74=0),GZ73,GV74+(0.5*(1-MAX(GV$5:GV$104))))</f>
        <v>0.21600000000000003</v>
      </c>
    </row>
    <row r="75" spans="2:208">
      <c r="B75" s="9"/>
      <c r="C75" s="10"/>
      <c r="D75" s="10"/>
      <c r="E75" s="10"/>
      <c r="F75" s="11"/>
      <c r="G75" s="70"/>
      <c r="H75" s="83" t="s">
        <v>126</v>
      </c>
      <c r="I75" s="84"/>
      <c r="J75" s="84"/>
      <c r="K75" s="84"/>
      <c r="L75" s="84"/>
      <c r="M75" s="84"/>
      <c r="N75" s="84"/>
      <c r="O75" s="84"/>
      <c r="P75" s="85"/>
      <c r="Q75" s="74">
        <f>HLOOKUP(M$65,CQ$5:CX$11,6,FALSE)</f>
        <v>500</v>
      </c>
      <c r="R75" s="75"/>
      <c r="S75" s="62"/>
      <c r="T75" s="196" t="s">
        <v>19</v>
      </c>
      <c r="U75" s="197"/>
      <c r="V75" s="198"/>
      <c r="W75" s="196" t="str">
        <f>IF(AF69="Too Small","N/A",DH82&amp;"m")</f>
        <v>42m</v>
      </c>
      <c r="X75" s="197"/>
      <c r="Y75" s="200"/>
      <c r="Z75" s="41"/>
      <c r="AA75" s="41"/>
      <c r="AB75" s="41"/>
      <c r="AC75" s="41"/>
      <c r="AD75" s="41"/>
      <c r="AE75" s="67"/>
      <c r="AF75" s="42"/>
      <c r="AG75" s="41"/>
      <c r="AH75" s="41"/>
      <c r="AI75" s="41"/>
      <c r="AJ75" s="43"/>
      <c r="AK75" s="54"/>
      <c r="AL75" s="54"/>
      <c r="BP75" s="54"/>
      <c r="BQ75" s="54"/>
      <c r="BR75" s="54"/>
      <c r="BS75" s="54"/>
      <c r="BT75" s="54"/>
      <c r="BU75" s="54"/>
      <c r="BV75" s="54"/>
      <c r="BW75" s="54"/>
      <c r="BX75" s="54"/>
      <c r="BY75" s="54"/>
      <c r="BZ75" s="54"/>
      <c r="CA75" s="54"/>
      <c r="CB75" s="54">
        <v>5</v>
      </c>
      <c r="CC75" s="54">
        <f>(2.66*CJ$12^1.25)*((6.74*(CB75/100)^0.7)+0.4+(P$15/CJ$11)*P$16)*1000</f>
        <v>512.73578615605379</v>
      </c>
      <c r="CD75" s="54"/>
      <c r="CE75" s="54"/>
      <c r="CF75" s="54"/>
      <c r="CG75" s="33"/>
      <c r="CH75" s="29" t="s">
        <v>20</v>
      </c>
      <c r="CI75" s="53" t="s">
        <v>75</v>
      </c>
      <c r="CJ75" s="56">
        <f>IF(CJ64="N/A","N/A",HLOOKUP(M$65,CQ$21:CX$27,7,FALSE))</f>
        <v>0.40054800000000002</v>
      </c>
      <c r="CK75" s="29" t="s">
        <v>48</v>
      </c>
      <c r="EG75" s="29"/>
      <c r="EH75" s="29">
        <v>25</v>
      </c>
      <c r="EI75" s="29">
        <v>106.8</v>
      </c>
      <c r="EJ75" s="29">
        <v>80.8</v>
      </c>
      <c r="EK75" s="29">
        <v>66.400000000000006</v>
      </c>
      <c r="EL75" s="29">
        <v>45.2</v>
      </c>
      <c r="EM75" s="29">
        <v>35.4</v>
      </c>
      <c r="EN75" s="29">
        <v>29.6</v>
      </c>
      <c r="EO75" s="29">
        <v>18.7</v>
      </c>
      <c r="EP75" s="29">
        <v>11.6</v>
      </c>
      <c r="EQ75" s="29">
        <v>7</v>
      </c>
      <c r="FF75" s="29">
        <v>71</v>
      </c>
      <c r="FG75" s="29">
        <f t="shared" si="35"/>
        <v>4.4610615680975059</v>
      </c>
      <c r="FH75" s="29">
        <f>($P$20/2000)*SIN(FG75)+($P$20/2000)</f>
        <v>7.8542097178422587E-3</v>
      </c>
      <c r="FI75" s="29">
        <f>($P$20/2000)*COS(FG75)+$P$20/2000</f>
        <v>0.18782752820878618</v>
      </c>
      <c r="FL75" s="29">
        <f>IF($P$19="Hexagon",EU75,IF(OR($P$19="Kerbdrain150",$P$19="Kerbdrain280"),FA75,IF(OR($P$19="Channel100",$P$19="Channel150",$P$19="Channel200",$P$19="Channel430"),EW75,IF(AND($P$19="Oval",$CJ$11=0.15),FH75,IF(AND($P$19="Oval",$CJ$11=0.225),FH75,IF(AND($P$19="Oval",$CJ$11=0.35),FH75,IF(AND($P$19="Oval",$CJ$11=0.55),FH75,IF(AND($P$19="Oval",$CJ$11=0.7),FD75,IF(AND($P$19="Oval",$CJ$11=0.9),FD75,"")))))))))</f>
        <v>0</v>
      </c>
      <c r="FM75" s="29">
        <f>IF($P$19="Hexagon",EV75,IF(OR($P$19="Kerbdrain150",$P$19="Kerbdrain280"),FB75,IF(OR($P$19="Channel100",$P$19="Channel150",$P$19="Channel200",$P$19="Channel430"),EX75,IF(AND($P$19="Oval",$CJ$11=0.15),FI75,IF(AND($P$19="Oval",$CJ$11=0.225),FI75,IF(AND($P$19="Oval",$CJ$11=0.35),FI75,IF(AND($P$19="Oval",$CJ$11=0.55),FI75,IF(AND($P$19="Oval",$CJ$11=0.7),FE75,IF(AND($P$19="Oval",$CJ$11=0.9),FE75,"")))))))))</f>
        <v>0</v>
      </c>
      <c r="FP75" s="29">
        <f>IF(MAX(FL$5:FM$104)&lt;0.5,FL75*2,FL75)</f>
        <v>0</v>
      </c>
      <c r="FQ75" s="29">
        <f>IF(MAX(FL$5:FM$104)&lt;0.5,FM75*2,FM75)</f>
        <v>0</v>
      </c>
      <c r="FT75" s="29">
        <f>IF(AND(FP75=0,FQ75=0),FT74,FP75+(0.5*(1-MAX(FP$5:FP$104))))</f>
        <v>0.5</v>
      </c>
      <c r="FU75" s="29">
        <f>IF(AND(FP75=0,FQ75=0),FU74,FQ75+(0.5*(1-MAX(FQ$5:FQ$104))))</f>
        <v>0.21600000000000003</v>
      </c>
      <c r="GK75" s="51">
        <v>71</v>
      </c>
      <c r="GL75" s="51">
        <f t="shared" si="36"/>
        <v>4.4610615680975059</v>
      </c>
      <c r="GM75" s="51">
        <f>($M$66/2000)*SIN(GL75)+($M$66/2000)</f>
        <v>7.8542097178422587E-3</v>
      </c>
      <c r="GN75" s="51">
        <f>($M$66/2000)*COS(GL75)+$M$66/2000</f>
        <v>0.18782752820878618</v>
      </c>
      <c r="GQ75" s="51">
        <f>IF($M$65="Hexagon",FZ75,IF(OR($M$65="Kerbdrain150",$M$65="Kerbdrain280"),GF75,IF(OR($M$65="Channel100",$M$65="Channel150",$M$65="Channel200",$M$65="Channel430"),GB75,IF(AND($M$65="Oval",$CL$11=0.15),GM75,IF(AND($M$65="Oval",$CL$11=0.225),GM75,IF(AND($M$65="Oval",$CL$11=0.35),GM75,IF(AND($M$65="Oval",$CL$11=0.55),GM75,IF(AND($M$65="Oval",$CL$11=0.7),GI75,IF(AND($M$65="Oval",$CL$11=0.9),GI75,"")))))))))</f>
        <v>0</v>
      </c>
      <c r="GR75" s="51">
        <f>IF($M$65="Hexagon",GA75,IF(OR($M$65="Kerbdrain150",$M$65="Kerbdrain280"),GG75,IF(OR($M$65="Channel100",$M$65="Channel150",$M$65="Channel200",$M$65="Channel430"),GC75,IF(AND($M$65="Oval",$CL$11=0.15),GN75,IF(AND($M$65="Oval",$CL$11=0.225),GN75,IF(AND($M$65="Oval",$CL$11=0.35),GN75,IF(AND($M$65="Oval",$CL$11=0.55),GN75,IF(AND($M$65="Oval",$CL$11=0.7),GJ75,IF(AND($M$65="Oval",$CL$11=0.9),GJ75,"")))))))))</f>
        <v>0</v>
      </c>
      <c r="GU75" s="51">
        <f>IF(MAX(GQ$5:GR$104)&lt;0.5,GQ75*2,GQ75)</f>
        <v>0</v>
      </c>
      <c r="GV75" s="51">
        <f>IF(MAX(GQ$5:GR$104)&lt;0.5,GR75*2,GR75)</f>
        <v>0</v>
      </c>
      <c r="GY75" s="51">
        <f>IF(AND(GU75=0,GV75=0),GY74,GU75+(0.5*(1-MAX(GU$5:GU$104))))</f>
        <v>0.5</v>
      </c>
      <c r="GZ75" s="51">
        <f>IF(AND(GU75=0,GV75=0),GZ74,GV75+(0.5*(1-MAX(GV$5:GV$104))))</f>
        <v>0.21600000000000003</v>
      </c>
    </row>
    <row r="76" spans="2:208" ht="15.75" thickBot="1">
      <c r="B76" s="9"/>
      <c r="C76" s="10"/>
      <c r="D76" s="10"/>
      <c r="E76" s="10"/>
      <c r="F76" s="11"/>
      <c r="G76" s="70"/>
      <c r="H76" s="71" t="s">
        <v>127</v>
      </c>
      <c r="I76" s="72"/>
      <c r="J76" s="72"/>
      <c r="K76" s="72"/>
      <c r="L76" s="72"/>
      <c r="M76" s="72"/>
      <c r="N76" s="72"/>
      <c r="O76" s="72"/>
      <c r="P76" s="73"/>
      <c r="Q76" s="76">
        <f>HLOOKUP(M$65,CQ$5:CX$11,7,FALSE)</f>
        <v>600</v>
      </c>
      <c r="R76" s="77"/>
      <c r="S76" s="64"/>
      <c r="T76" s="190" t="s">
        <v>19</v>
      </c>
      <c r="U76" s="184"/>
      <c r="V76" s="77"/>
      <c r="W76" s="190" t="str">
        <f>IF(AF69="Too Small","N/A",DN82&amp;"m")</f>
        <v>0m</v>
      </c>
      <c r="X76" s="184"/>
      <c r="Y76" s="201"/>
      <c r="Z76" s="41"/>
      <c r="AA76" s="41"/>
      <c r="AB76" s="41"/>
      <c r="AC76" s="41"/>
      <c r="AD76" s="41"/>
      <c r="AE76" s="67"/>
      <c r="AF76" s="42"/>
      <c r="AG76" s="41"/>
      <c r="AH76" s="41"/>
      <c r="AI76" s="41"/>
      <c r="AJ76" s="43"/>
      <c r="AK76" s="54"/>
      <c r="AL76" s="54"/>
      <c r="BP76" s="54"/>
      <c r="BQ76" s="54"/>
      <c r="BR76" s="54"/>
      <c r="BS76" s="54"/>
      <c r="BT76" s="54"/>
      <c r="BU76" s="54"/>
      <c r="BV76" s="54"/>
      <c r="BW76" s="54"/>
      <c r="BX76" s="54"/>
      <c r="BY76" s="54"/>
      <c r="BZ76" s="54"/>
      <c r="CA76" s="54"/>
      <c r="CB76" s="54">
        <v>6</v>
      </c>
      <c r="CC76" s="54">
        <f>(2.66*CJ$12^1.25)*((6.74*(CB76/100)^0.7)+0.4+(P$15/CJ$11)*P$16)*1000</f>
        <v>557.00171282738745</v>
      </c>
      <c r="CD76" s="54"/>
      <c r="CE76" s="54"/>
      <c r="CF76" s="54"/>
      <c r="CG76" s="33"/>
      <c r="CI76" s="53" t="s">
        <v>19</v>
      </c>
      <c r="CJ76" s="49">
        <v>17</v>
      </c>
      <c r="EG76" s="29"/>
      <c r="EH76" s="29">
        <v>30</v>
      </c>
      <c r="EI76" s="29">
        <v>110.6</v>
      </c>
      <c r="EJ76" s="29">
        <v>83.9</v>
      </c>
      <c r="EK76" s="29">
        <v>69</v>
      </c>
      <c r="EL76" s="29">
        <v>47.1</v>
      </c>
      <c r="EM76" s="29">
        <v>36.9</v>
      </c>
      <c r="EN76" s="29">
        <v>30.8</v>
      </c>
      <c r="EO76" s="29">
        <v>19.5</v>
      </c>
      <c r="EP76" s="29">
        <v>12.1</v>
      </c>
      <c r="EQ76" s="29">
        <v>7</v>
      </c>
      <c r="FF76" s="29">
        <v>72</v>
      </c>
      <c r="FG76" s="29">
        <f t="shared" si="35"/>
        <v>4.5238934211693023</v>
      </c>
      <c r="FH76" s="29">
        <f>($P$20/2000)*SIN(FG76)+($P$20/2000)</f>
        <v>4.4281873178278197E-3</v>
      </c>
      <c r="FI76" s="29">
        <f>($P$20/2000)*COS(FG76)+$P$20/2000</f>
        <v>0.20315467135356885</v>
      </c>
      <c r="FL76" s="29">
        <f>IF($P$19="Hexagon",EU76,IF(OR($P$19="Kerbdrain150",$P$19="Kerbdrain280"),FA76,IF(OR($P$19="Channel100",$P$19="Channel150",$P$19="Channel200",$P$19="Channel430"),EW76,IF(AND($P$19="Oval",$CJ$11=0.15),FH76,IF(AND($P$19="Oval",$CJ$11=0.225),FH76,IF(AND($P$19="Oval",$CJ$11=0.35),FH76,IF(AND($P$19="Oval",$CJ$11=0.55),FH76,IF(AND($P$19="Oval",$CJ$11=0.7),FD76,IF(AND($P$19="Oval",$CJ$11=0.9),FD76,"")))))))))</f>
        <v>0</v>
      </c>
      <c r="FM76" s="29">
        <f>IF($P$19="Hexagon",EV76,IF(OR($P$19="Kerbdrain150",$P$19="Kerbdrain280"),FB76,IF(OR($P$19="Channel100",$P$19="Channel150",$P$19="Channel200",$P$19="Channel430"),EX76,IF(AND($P$19="Oval",$CJ$11=0.15),FI76,IF(AND($P$19="Oval",$CJ$11=0.225),FI76,IF(AND($P$19="Oval",$CJ$11=0.35),FI76,IF(AND($P$19="Oval",$CJ$11=0.55),FI76,IF(AND($P$19="Oval",$CJ$11=0.7),FE76,IF(AND($P$19="Oval",$CJ$11=0.9),FE76,"")))))))))</f>
        <v>0</v>
      </c>
      <c r="FP76" s="29">
        <f>IF(MAX(FL$5:FM$104)&lt;0.5,FL76*2,FL76)</f>
        <v>0</v>
      </c>
      <c r="FQ76" s="29">
        <f>IF(MAX(FL$5:FM$104)&lt;0.5,FM76*2,FM76)</f>
        <v>0</v>
      </c>
      <c r="FT76" s="29">
        <f>IF(AND(FP76=0,FQ76=0),FT75,FP76+(0.5*(1-MAX(FP$5:FP$104))))</f>
        <v>0.5</v>
      </c>
      <c r="FU76" s="29">
        <f>IF(AND(FP76=0,FQ76=0),FU75,FQ76+(0.5*(1-MAX(FQ$5:FQ$104))))</f>
        <v>0.21600000000000003</v>
      </c>
      <c r="GK76" s="51">
        <v>72</v>
      </c>
      <c r="GL76" s="51">
        <f t="shared" si="36"/>
        <v>4.5238934211693023</v>
      </c>
      <c r="GM76" s="51">
        <f>($M$66/2000)*SIN(GL76)+($M$66/2000)</f>
        <v>4.4281873178278197E-3</v>
      </c>
      <c r="GN76" s="51">
        <f>($M$66/2000)*COS(GL76)+$M$66/2000</f>
        <v>0.20315467135356885</v>
      </c>
      <c r="GQ76" s="51">
        <f>IF($M$65="Hexagon",FZ76,IF(OR($M$65="Kerbdrain150",$M$65="Kerbdrain280"),GF76,IF(OR($M$65="Channel100",$M$65="Channel150",$M$65="Channel200",$M$65="Channel430"),GB76,IF(AND($M$65="Oval",$CL$11=0.15),GM76,IF(AND($M$65="Oval",$CL$11=0.225),GM76,IF(AND($M$65="Oval",$CL$11=0.35),GM76,IF(AND($M$65="Oval",$CL$11=0.55),GM76,IF(AND($M$65="Oval",$CL$11=0.7),GI76,IF(AND($M$65="Oval",$CL$11=0.9),GI76,"")))))))))</f>
        <v>0</v>
      </c>
      <c r="GR76" s="51">
        <f>IF($M$65="Hexagon",GA76,IF(OR($M$65="Kerbdrain150",$M$65="Kerbdrain280"),GG76,IF(OR($M$65="Channel100",$M$65="Channel150",$M$65="Channel200",$M$65="Channel430"),GC76,IF(AND($M$65="Oval",$CL$11=0.15),GN76,IF(AND($M$65="Oval",$CL$11=0.225),GN76,IF(AND($M$65="Oval",$CL$11=0.35),GN76,IF(AND($M$65="Oval",$CL$11=0.55),GN76,IF(AND($M$65="Oval",$CL$11=0.7),GJ76,IF(AND($M$65="Oval",$CL$11=0.9),GJ76,"")))))))))</f>
        <v>0</v>
      </c>
      <c r="GU76" s="51">
        <f>IF(MAX(GQ$5:GR$104)&lt;0.5,GQ76*2,GQ76)</f>
        <v>0</v>
      </c>
      <c r="GV76" s="51">
        <f>IF(MAX(GQ$5:GR$104)&lt;0.5,GR76*2,GR76)</f>
        <v>0</v>
      </c>
      <c r="GY76" s="51">
        <f>IF(AND(GU76=0,GV76=0),GY75,GU76+(0.5*(1-MAX(GU$5:GU$104))))</f>
        <v>0.5</v>
      </c>
      <c r="GZ76" s="51">
        <f>IF(AND(GU76=0,GV76=0),GZ75,GV76+(0.5*(1-MAX(GV$5:GV$104))))</f>
        <v>0.21600000000000003</v>
      </c>
    </row>
    <row r="77" spans="2:208">
      <c r="B77" s="9"/>
      <c r="C77" s="10"/>
      <c r="D77" s="10"/>
      <c r="E77" s="10"/>
      <c r="F77" s="11"/>
      <c r="G77" s="70"/>
      <c r="H77" s="37"/>
      <c r="I77" s="37"/>
      <c r="J77" s="37"/>
      <c r="K77" s="37"/>
      <c r="L77" s="37"/>
      <c r="M77" s="37"/>
      <c r="N77" s="37"/>
      <c r="O77" s="37"/>
      <c r="P77" s="37"/>
      <c r="Q77" s="37"/>
      <c r="R77" s="37"/>
      <c r="S77" s="37"/>
      <c r="T77" s="37"/>
      <c r="U77" s="41"/>
      <c r="V77" s="41"/>
      <c r="W77" s="41"/>
      <c r="X77" s="41"/>
      <c r="Y77" s="41"/>
      <c r="Z77" s="41"/>
      <c r="AA77" s="41"/>
      <c r="AB77" s="41"/>
      <c r="AC77" s="41"/>
      <c r="AD77" s="41"/>
      <c r="AE77" s="67"/>
      <c r="AF77" s="42"/>
      <c r="AG77" s="41"/>
      <c r="AH77" s="41"/>
      <c r="AI77" s="41"/>
      <c r="AJ77" s="43"/>
      <c r="AK77" s="54"/>
      <c r="AL77" s="54"/>
      <c r="BP77" s="54"/>
      <c r="BQ77" s="54"/>
      <c r="BR77" s="54"/>
      <c r="BS77" s="54"/>
      <c r="BT77" s="54"/>
      <c r="BU77" s="54"/>
      <c r="BV77" s="54"/>
      <c r="BW77" s="54"/>
      <c r="BX77" s="54"/>
      <c r="BY77" s="54"/>
      <c r="BZ77" s="54"/>
      <c r="CA77" s="54"/>
      <c r="CB77" s="54">
        <v>7</v>
      </c>
      <c r="CC77" s="54">
        <f>(2.66*CJ$12^1.25)*((6.74*(CB77/100)^0.7)+0.4+(P$15/CJ$11)*P$16)*1000</f>
        <v>599.09741613522692</v>
      </c>
      <c r="CD77" s="54"/>
      <c r="CE77" s="54"/>
      <c r="CF77" s="54"/>
      <c r="CG77" s="33"/>
      <c r="CI77" s="53" t="s">
        <v>94</v>
      </c>
      <c r="CJ77" s="51">
        <f>IF(CJ64="N/A","N/A",SUM(CJ$32+CJ$40+CJ$49+CJ$58+CJ$67+CJ$76))</f>
        <v>93</v>
      </c>
      <c r="EG77" s="29"/>
      <c r="EH77" s="29">
        <v>50</v>
      </c>
      <c r="EI77" s="29">
        <v>122</v>
      </c>
      <c r="EJ77" s="29">
        <v>93.2</v>
      </c>
      <c r="EK77" s="29">
        <v>76.900000000000006</v>
      </c>
      <c r="EL77" s="29">
        <v>52.7</v>
      </c>
      <c r="EM77" s="29">
        <v>41.4</v>
      </c>
      <c r="EN77" s="29">
        <v>34.6</v>
      </c>
      <c r="EO77" s="29">
        <v>21.9</v>
      </c>
      <c r="EP77" s="29">
        <v>13.5</v>
      </c>
      <c r="EQ77" s="29">
        <v>8</v>
      </c>
      <c r="FF77" s="29">
        <v>73</v>
      </c>
      <c r="FG77" s="29">
        <f t="shared" si="35"/>
        <v>4.5867252742410978</v>
      </c>
      <c r="FH77" s="29">
        <f>($P$20/2000)*SIN(FG77)+($P$20/2000)</f>
        <v>1.9713246713805588E-3</v>
      </c>
      <c r="FI77" s="29">
        <f>($P$20/2000)*COS(FG77)+$P$20/2000</f>
        <v>0.21866669160892385</v>
      </c>
      <c r="FL77" s="29">
        <f>IF($P$19="Hexagon",EU77,IF(OR($P$19="Kerbdrain150",$P$19="Kerbdrain280"),FA77,IF(OR($P$19="Channel100",$P$19="Channel150",$P$19="Channel200",$P$19="Channel430"),EW77,IF(AND($P$19="Oval",$CJ$11=0.15),FH77,IF(AND($P$19="Oval",$CJ$11=0.225),FH77,IF(AND($P$19="Oval",$CJ$11=0.35),FH77,IF(AND($P$19="Oval",$CJ$11=0.55),FH77,IF(AND($P$19="Oval",$CJ$11=0.7),FD77,IF(AND($P$19="Oval",$CJ$11=0.9),FD77,"")))))))))</f>
        <v>0</v>
      </c>
      <c r="FM77" s="29">
        <f>IF($P$19="Hexagon",EV77,IF(OR($P$19="Kerbdrain150",$P$19="Kerbdrain280"),FB77,IF(OR($P$19="Channel100",$P$19="Channel150",$P$19="Channel200",$P$19="Channel430"),EX77,IF(AND($P$19="Oval",$CJ$11=0.15),FI77,IF(AND($P$19="Oval",$CJ$11=0.225),FI77,IF(AND($P$19="Oval",$CJ$11=0.35),FI77,IF(AND($P$19="Oval",$CJ$11=0.55),FI77,IF(AND($P$19="Oval",$CJ$11=0.7),FE77,IF(AND($P$19="Oval",$CJ$11=0.9),FE77,"")))))))))</f>
        <v>0</v>
      </c>
      <c r="FP77" s="29">
        <f>IF(MAX(FL$5:FM$104)&lt;0.5,FL77*2,FL77)</f>
        <v>0</v>
      </c>
      <c r="FQ77" s="29">
        <f>IF(MAX(FL$5:FM$104)&lt;0.5,FM77*2,FM77)</f>
        <v>0</v>
      </c>
      <c r="FT77" s="29">
        <f>IF(AND(FP77=0,FQ77=0),FT76,FP77+(0.5*(1-MAX(FP$5:FP$104))))</f>
        <v>0.5</v>
      </c>
      <c r="FU77" s="29">
        <f>IF(AND(FP77=0,FQ77=0),FU76,FQ77+(0.5*(1-MAX(FQ$5:FQ$104))))</f>
        <v>0.21600000000000003</v>
      </c>
      <c r="GK77" s="51">
        <v>73</v>
      </c>
      <c r="GL77" s="51">
        <f t="shared" si="36"/>
        <v>4.5867252742410978</v>
      </c>
      <c r="GM77" s="51">
        <f>($M$66/2000)*SIN(GL77)+($M$66/2000)</f>
        <v>1.9713246713805588E-3</v>
      </c>
      <c r="GN77" s="51">
        <f>($M$66/2000)*COS(GL77)+$M$66/2000</f>
        <v>0.21866669160892385</v>
      </c>
      <c r="GQ77" s="51">
        <f>IF($M$65="Hexagon",FZ77,IF(OR($M$65="Kerbdrain150",$M$65="Kerbdrain280"),GF77,IF(OR($M$65="Channel100",$M$65="Channel150",$M$65="Channel200",$M$65="Channel430"),GB77,IF(AND($M$65="Oval",$CL$11=0.15),GM77,IF(AND($M$65="Oval",$CL$11=0.225),GM77,IF(AND($M$65="Oval",$CL$11=0.35),GM77,IF(AND($M$65="Oval",$CL$11=0.55),GM77,IF(AND($M$65="Oval",$CL$11=0.7),GI77,IF(AND($M$65="Oval",$CL$11=0.9),GI77,"")))))))))</f>
        <v>0</v>
      </c>
      <c r="GR77" s="51">
        <f>IF($M$65="Hexagon",GA77,IF(OR($M$65="Kerbdrain150",$M$65="Kerbdrain280"),GG77,IF(OR($M$65="Channel100",$M$65="Channel150",$M$65="Channel200",$M$65="Channel430"),GC77,IF(AND($M$65="Oval",$CL$11=0.15),GN77,IF(AND($M$65="Oval",$CL$11=0.225),GN77,IF(AND($M$65="Oval",$CL$11=0.35),GN77,IF(AND($M$65="Oval",$CL$11=0.55),GN77,IF(AND($M$65="Oval",$CL$11=0.7),GJ77,IF(AND($M$65="Oval",$CL$11=0.9),GJ77,"")))))))))</f>
        <v>0</v>
      </c>
      <c r="GU77" s="51">
        <f>IF(MAX(GQ$5:GR$104)&lt;0.5,GQ77*2,GQ77)</f>
        <v>0</v>
      </c>
      <c r="GV77" s="51">
        <f>IF(MAX(GQ$5:GR$104)&lt;0.5,GR77*2,GR77)</f>
        <v>0</v>
      </c>
      <c r="GY77" s="51">
        <f>IF(AND(GU77=0,GV77=0),GY76,GU77+(0.5*(1-MAX(GU$5:GU$104))))</f>
        <v>0.5</v>
      </c>
      <c r="GZ77" s="51">
        <f>IF(AND(GU77=0,GV77=0),GZ76,GV77+(0.5*(1-MAX(GV$5:GV$104))))</f>
        <v>0.21600000000000003</v>
      </c>
    </row>
    <row r="78" spans="2:208">
      <c r="B78" s="9"/>
      <c r="C78" s="10"/>
      <c r="D78" s="10"/>
      <c r="E78" s="10"/>
      <c r="F78" s="11"/>
      <c r="G78" s="70"/>
      <c r="H78" s="37"/>
      <c r="I78" s="37"/>
      <c r="J78" s="37"/>
      <c r="K78" s="37"/>
      <c r="L78" s="37"/>
      <c r="M78" s="37"/>
      <c r="N78" s="37"/>
      <c r="O78" s="37"/>
      <c r="P78" s="37"/>
      <c r="Q78" s="37"/>
      <c r="R78" s="37"/>
      <c r="S78" s="37"/>
      <c r="T78" s="37"/>
      <c r="U78" s="41"/>
      <c r="V78" s="41"/>
      <c r="W78" s="41"/>
      <c r="X78" s="41"/>
      <c r="Y78" s="41"/>
      <c r="Z78" s="41"/>
      <c r="AA78" s="41"/>
      <c r="AB78" s="41"/>
      <c r="AC78" s="41"/>
      <c r="AD78" s="41"/>
      <c r="AE78" s="67"/>
      <c r="AF78" s="42"/>
      <c r="AG78" s="41"/>
      <c r="AH78" s="41"/>
      <c r="AI78" s="41"/>
      <c r="AJ78" s="43"/>
      <c r="AK78" s="54"/>
      <c r="AL78" s="54"/>
      <c r="BP78" s="54"/>
      <c r="BQ78" s="54"/>
      <c r="BR78" s="54"/>
      <c r="BS78" s="54"/>
      <c r="BT78" s="54"/>
      <c r="BU78" s="54"/>
      <c r="BV78" s="54"/>
      <c r="BW78" s="54"/>
      <c r="BX78" s="54"/>
      <c r="BY78" s="54"/>
      <c r="BZ78" s="54"/>
      <c r="CA78" s="54"/>
      <c r="CB78" s="54">
        <v>8</v>
      </c>
      <c r="CC78" s="54">
        <f>(2.66*CJ$12^1.25)*((6.74*(CB78/100)^0.7)+0.4+(P$15/CJ$11)*P$16)*1000</f>
        <v>639.42030828475527</v>
      </c>
      <c r="CD78" s="54"/>
      <c r="CE78" s="54"/>
      <c r="CF78" s="54"/>
      <c r="CG78" s="33"/>
      <c r="CI78" s="53" t="s">
        <v>90</v>
      </c>
      <c r="CJ78" s="29">
        <f>IF(CJ64="N/A","N/A",CJ$27*CJ76+CJ69)</f>
        <v>285.45833333333331</v>
      </c>
      <c r="EG78" s="29"/>
      <c r="EH78" s="29">
        <v>100</v>
      </c>
      <c r="EI78" s="29">
        <v>139.4</v>
      </c>
      <c r="EJ78" s="29">
        <v>107.6</v>
      </c>
      <c r="EK78" s="29">
        <v>89.2</v>
      </c>
      <c r="EL78" s="29">
        <v>61.5</v>
      </c>
      <c r="EM78" s="29">
        <v>48.4</v>
      </c>
      <c r="EN78" s="29">
        <v>40.5</v>
      </c>
      <c r="EO78" s="29">
        <v>25.6</v>
      </c>
      <c r="EP78" s="29">
        <v>15.6</v>
      </c>
      <c r="EQ78" s="29">
        <v>9</v>
      </c>
      <c r="FF78" s="29">
        <v>74</v>
      </c>
      <c r="FG78" s="29">
        <f t="shared" si="35"/>
        <v>4.6495571273128942</v>
      </c>
      <c r="FH78" s="29">
        <f>($P$20/2000)*SIN(FG78)+($P$20/2000)</f>
        <v>4.9331789293211026E-4</v>
      </c>
      <c r="FI78" s="29">
        <f>($P$20/2000)*COS(FG78)+$P$20/2000</f>
        <v>0.23430237011767169</v>
      </c>
      <c r="FL78" s="29">
        <f>IF($P$19="Hexagon",EU78,IF(OR($P$19="Kerbdrain150",$P$19="Kerbdrain280"),FA78,IF(OR($P$19="Channel100",$P$19="Channel150",$P$19="Channel200",$P$19="Channel430"),EW78,IF(AND($P$19="Oval",$CJ$11=0.15),FH78,IF(AND($P$19="Oval",$CJ$11=0.225),FH78,IF(AND($P$19="Oval",$CJ$11=0.35),FH78,IF(AND($P$19="Oval",$CJ$11=0.55),FH78,IF(AND($P$19="Oval",$CJ$11=0.7),FD78,IF(AND($P$19="Oval",$CJ$11=0.9),FD78,"")))))))))</f>
        <v>0</v>
      </c>
      <c r="FM78" s="29">
        <f>IF($P$19="Hexagon",EV78,IF(OR($P$19="Kerbdrain150",$P$19="Kerbdrain280"),FB78,IF(OR($P$19="Channel100",$P$19="Channel150",$P$19="Channel200",$P$19="Channel430"),EX78,IF(AND($P$19="Oval",$CJ$11=0.15),FI78,IF(AND($P$19="Oval",$CJ$11=0.225),FI78,IF(AND($P$19="Oval",$CJ$11=0.35),FI78,IF(AND($P$19="Oval",$CJ$11=0.55),FI78,IF(AND($P$19="Oval",$CJ$11=0.7),FE78,IF(AND($P$19="Oval",$CJ$11=0.9),FE78,"")))))))))</f>
        <v>0</v>
      </c>
      <c r="FP78" s="29">
        <f>IF(MAX(FL$5:FM$104)&lt;0.5,FL78*2,FL78)</f>
        <v>0</v>
      </c>
      <c r="FQ78" s="29">
        <f>IF(MAX(FL$5:FM$104)&lt;0.5,FM78*2,FM78)</f>
        <v>0</v>
      </c>
      <c r="FT78" s="29">
        <f>IF(AND(FP78=0,FQ78=0),FT77,FP78+(0.5*(1-MAX(FP$5:FP$104))))</f>
        <v>0.5</v>
      </c>
      <c r="FU78" s="29">
        <f>IF(AND(FP78=0,FQ78=0),FU77,FQ78+(0.5*(1-MAX(FQ$5:FQ$104))))</f>
        <v>0.21600000000000003</v>
      </c>
      <c r="GK78" s="51">
        <v>74</v>
      </c>
      <c r="GL78" s="51">
        <f t="shared" si="36"/>
        <v>4.6495571273128942</v>
      </c>
      <c r="GM78" s="51">
        <f>($M$66/2000)*SIN(GL78)+($M$66/2000)</f>
        <v>4.9331789293211026E-4</v>
      </c>
      <c r="GN78" s="51">
        <f>($M$66/2000)*COS(GL78)+$M$66/2000</f>
        <v>0.23430237011767169</v>
      </c>
      <c r="GQ78" s="51">
        <f>IF($M$65="Hexagon",FZ78,IF(OR($M$65="Kerbdrain150",$M$65="Kerbdrain280"),GF78,IF(OR($M$65="Channel100",$M$65="Channel150",$M$65="Channel200",$M$65="Channel430"),GB78,IF(AND($M$65="Oval",$CL$11=0.15),GM78,IF(AND($M$65="Oval",$CL$11=0.225),GM78,IF(AND($M$65="Oval",$CL$11=0.35),GM78,IF(AND($M$65="Oval",$CL$11=0.55),GM78,IF(AND($M$65="Oval",$CL$11=0.7),GI78,IF(AND($M$65="Oval",$CL$11=0.9),GI78,"")))))))))</f>
        <v>0</v>
      </c>
      <c r="GR78" s="51">
        <f>IF($M$65="Hexagon",GA78,IF(OR($M$65="Kerbdrain150",$M$65="Kerbdrain280"),GG78,IF(OR($M$65="Channel100",$M$65="Channel150",$M$65="Channel200",$M$65="Channel430"),GC78,IF(AND($M$65="Oval",$CL$11=0.15),GN78,IF(AND($M$65="Oval",$CL$11=0.225),GN78,IF(AND($M$65="Oval",$CL$11=0.35),GN78,IF(AND($M$65="Oval",$CL$11=0.55),GN78,IF(AND($M$65="Oval",$CL$11=0.7),GJ78,IF(AND($M$65="Oval",$CL$11=0.9),GJ78,"")))))))))</f>
        <v>0</v>
      </c>
      <c r="GU78" s="51">
        <f>IF(MAX(GQ$5:GR$104)&lt;0.5,GQ78*2,GQ78)</f>
        <v>0</v>
      </c>
      <c r="GV78" s="51">
        <f>IF(MAX(GQ$5:GR$104)&lt;0.5,GR78*2,GR78)</f>
        <v>0</v>
      </c>
      <c r="GY78" s="51">
        <f>IF(AND(GU78=0,GV78=0),GY77,GU78+(0.5*(1-MAX(GU$5:GU$104))))</f>
        <v>0.5</v>
      </c>
      <c r="GZ78" s="51">
        <f>IF(AND(GU78=0,GV78=0),GZ77,GV78+(0.5*(1-MAX(GV$5:GV$104))))</f>
        <v>0.21600000000000003</v>
      </c>
    </row>
    <row r="79" spans="2:208">
      <c r="B79" s="9"/>
      <c r="C79" s="10"/>
      <c r="D79" s="10"/>
      <c r="E79" s="10"/>
      <c r="F79" s="11"/>
      <c r="G79" s="70"/>
      <c r="H79" s="37"/>
      <c r="I79" s="37"/>
      <c r="J79" s="37"/>
      <c r="K79" s="37"/>
      <c r="L79" s="37"/>
      <c r="M79" s="37"/>
      <c r="N79" s="37"/>
      <c r="O79" s="37"/>
      <c r="P79" s="37"/>
      <c r="Q79" s="37"/>
      <c r="R79" s="37"/>
      <c r="S79" s="37"/>
      <c r="T79" s="37"/>
      <c r="U79" s="41"/>
      <c r="V79" s="41"/>
      <c r="W79" s="41"/>
      <c r="X79" s="41"/>
      <c r="Y79" s="41"/>
      <c r="Z79" s="41"/>
      <c r="AA79" s="41"/>
      <c r="AB79" s="41"/>
      <c r="AC79" s="41"/>
      <c r="AD79" s="41"/>
      <c r="AE79" s="67"/>
      <c r="AF79" s="42"/>
      <c r="AG79" s="41"/>
      <c r="AH79" s="41"/>
      <c r="AI79" s="41"/>
      <c r="AJ79" s="43"/>
      <c r="AK79" s="54"/>
      <c r="AL79" s="54"/>
      <c r="BP79" s="54"/>
      <c r="BQ79" s="54"/>
      <c r="BR79" s="54"/>
      <c r="BS79" s="54"/>
      <c r="BT79" s="54"/>
      <c r="BU79" s="54"/>
      <c r="BV79" s="54"/>
      <c r="BW79" s="54"/>
      <c r="BX79" s="54"/>
      <c r="BY79" s="54"/>
      <c r="BZ79" s="54"/>
      <c r="CA79" s="54"/>
      <c r="CB79" s="54">
        <v>9</v>
      </c>
      <c r="CC79" s="54">
        <f>(2.66*CJ$12^1.25)*((6.74*(CB79/100)^0.7)+0.4+(P$15/CJ$11)*P$16)*1000</f>
        <v>678.25470071229927</v>
      </c>
      <c r="CD79" s="54"/>
      <c r="CE79" s="54"/>
      <c r="CF79" s="54"/>
      <c r="CG79" s="33"/>
      <c r="CI79" s="53" t="s">
        <v>91</v>
      </c>
      <c r="CJ79" s="29" t="e">
        <f>IF(CJ64="N/A","N/A",(2.66*CJ75^1.25)*((6.74*(CJ$22/100)^0.7)+0.4+(CJ77/CJ74)*CJ$23)*1000)</f>
        <v>#VALUE!</v>
      </c>
      <c r="EG79" s="29"/>
      <c r="EH79" s="29">
        <v>500</v>
      </c>
      <c r="EI79" s="29">
        <v>190</v>
      </c>
      <c r="EJ79" s="29">
        <v>150</v>
      </c>
      <c r="EK79" s="29">
        <v>125.9</v>
      </c>
      <c r="EL79" s="29">
        <v>88</v>
      </c>
      <c r="EM79" s="29">
        <v>69.7</v>
      </c>
      <c r="EN79" s="29">
        <v>58.4</v>
      </c>
      <c r="EO79" s="29">
        <v>36.9</v>
      </c>
      <c r="EP79" s="29">
        <v>22.1</v>
      </c>
      <c r="EQ79" s="29">
        <v>13</v>
      </c>
      <c r="FF79" s="29">
        <v>75</v>
      </c>
      <c r="FG79" s="29">
        <f t="shared" si="35"/>
        <v>4.7123889803846897</v>
      </c>
      <c r="FH79" s="29">
        <f>($P$20/2000)*SIN(FG79)+($P$20/2000)</f>
        <v>0</v>
      </c>
      <c r="FI79" s="29">
        <f>($P$20/2000)*COS(FG79)+$P$20/2000</f>
        <v>0.24999999999999994</v>
      </c>
      <c r="FL79" s="29">
        <f>IF($P$19="Hexagon",EU79,IF(OR($P$19="Kerbdrain150",$P$19="Kerbdrain280"),FA79,IF(OR($P$19="Channel100",$P$19="Channel150",$P$19="Channel200",$P$19="Channel430"),EW79,IF(AND($P$19="Oval",$CJ$11=0.15),FH79,IF(AND($P$19="Oval",$CJ$11=0.225),FH79,IF(AND($P$19="Oval",$CJ$11=0.35),FH79,IF(AND($P$19="Oval",$CJ$11=0.55),FH79,IF(AND($P$19="Oval",$CJ$11=0.7),FD79,IF(AND($P$19="Oval",$CJ$11=0.9),FD79,"")))))))))</f>
        <v>0</v>
      </c>
      <c r="FM79" s="29">
        <f>IF($P$19="Hexagon",EV79,IF(OR($P$19="Kerbdrain150",$P$19="Kerbdrain280"),FB79,IF(OR($P$19="Channel100",$P$19="Channel150",$P$19="Channel200",$P$19="Channel430"),EX79,IF(AND($P$19="Oval",$CJ$11=0.15),FI79,IF(AND($P$19="Oval",$CJ$11=0.225),FI79,IF(AND($P$19="Oval",$CJ$11=0.35),FI79,IF(AND($P$19="Oval",$CJ$11=0.55),FI79,IF(AND($P$19="Oval",$CJ$11=0.7),FE79,IF(AND($P$19="Oval",$CJ$11=0.9),FE79,"")))))))))</f>
        <v>0</v>
      </c>
      <c r="FP79" s="29">
        <f>IF(MAX(FL$5:FM$104)&lt;0.5,FL79*2,FL79)</f>
        <v>0</v>
      </c>
      <c r="FQ79" s="29">
        <f>IF(MAX(FL$5:FM$104)&lt;0.5,FM79*2,FM79)</f>
        <v>0</v>
      </c>
      <c r="FT79" s="29">
        <f>IF(AND(FP79=0,FQ79=0),FT78,FP79+(0.5*(1-MAX(FP$5:FP$104))))</f>
        <v>0.5</v>
      </c>
      <c r="FU79" s="29">
        <f>IF(AND(FP79=0,FQ79=0),FU78,FQ79+(0.5*(1-MAX(FQ$5:FQ$104))))</f>
        <v>0.21600000000000003</v>
      </c>
      <c r="GK79" s="51">
        <v>75</v>
      </c>
      <c r="GL79" s="51">
        <f t="shared" si="36"/>
        <v>4.7123889803846897</v>
      </c>
      <c r="GM79" s="51">
        <f>($M$66/2000)*SIN(GL79)+($M$66/2000)</f>
        <v>0</v>
      </c>
      <c r="GN79" s="51">
        <f>($M$66/2000)*COS(GL79)+$M$66/2000</f>
        <v>0.24999999999999994</v>
      </c>
      <c r="GQ79" s="51">
        <f>IF($M$65="Hexagon",FZ79,IF(OR($M$65="Kerbdrain150",$M$65="Kerbdrain280"),GF79,IF(OR($M$65="Channel100",$M$65="Channel150",$M$65="Channel200",$M$65="Channel430"),GB79,IF(AND($M$65="Oval",$CL$11=0.15),GM79,IF(AND($M$65="Oval",$CL$11=0.225),GM79,IF(AND($M$65="Oval",$CL$11=0.35),GM79,IF(AND($M$65="Oval",$CL$11=0.55),GM79,IF(AND($M$65="Oval",$CL$11=0.7),GI79,IF(AND($M$65="Oval",$CL$11=0.9),GI79,"")))))))))</f>
        <v>0</v>
      </c>
      <c r="GR79" s="51">
        <f>IF($M$65="Hexagon",GA79,IF(OR($M$65="Kerbdrain150",$M$65="Kerbdrain280"),GG79,IF(OR($M$65="Channel100",$M$65="Channel150",$M$65="Channel200",$M$65="Channel430"),GC79,IF(AND($M$65="Oval",$CL$11=0.15),GN79,IF(AND($M$65="Oval",$CL$11=0.225),GN79,IF(AND($M$65="Oval",$CL$11=0.35),GN79,IF(AND($M$65="Oval",$CL$11=0.55),GN79,IF(AND($M$65="Oval",$CL$11=0.7),GJ79,IF(AND($M$65="Oval",$CL$11=0.9),GJ79,"")))))))))</f>
        <v>0</v>
      </c>
      <c r="GU79" s="51">
        <f>IF(MAX(GQ$5:GR$104)&lt;0.5,GQ79*2,GQ79)</f>
        <v>0</v>
      </c>
      <c r="GV79" s="51">
        <f>IF(MAX(GQ$5:GR$104)&lt;0.5,GR79*2,GR79)</f>
        <v>0</v>
      </c>
      <c r="GY79" s="51">
        <f>IF(AND(GU79=0,GV79=0),GY78,GU79+(0.5*(1-MAX(GU$5:GU$104))))</f>
        <v>0.5</v>
      </c>
      <c r="GZ79" s="51">
        <f>IF(AND(GU79=0,GV79=0),GZ78,GV79+(0.5*(1-MAX(GV$5:GV$104))))</f>
        <v>0.21600000000000003</v>
      </c>
    </row>
    <row r="80" spans="2:208">
      <c r="B80" s="9"/>
      <c r="C80" s="10"/>
      <c r="D80" s="10"/>
      <c r="E80" s="10"/>
      <c r="F80" s="11"/>
      <c r="G80" s="70"/>
      <c r="H80" s="37"/>
      <c r="I80" s="37"/>
      <c r="J80" s="37"/>
      <c r="K80" s="37"/>
      <c r="L80" s="37"/>
      <c r="M80" s="37"/>
      <c r="N80" s="37"/>
      <c r="O80" s="37"/>
      <c r="P80" s="37"/>
      <c r="Q80" s="37"/>
      <c r="R80" s="37"/>
      <c r="S80" s="37"/>
      <c r="T80" s="37"/>
      <c r="U80" s="41"/>
      <c r="V80" s="41"/>
      <c r="W80" s="41"/>
      <c r="X80" s="41"/>
      <c r="Y80" s="41"/>
      <c r="Z80" s="41"/>
      <c r="AA80" s="41"/>
      <c r="AB80" s="41"/>
      <c r="AC80" s="41"/>
      <c r="AD80" s="41"/>
      <c r="AE80" s="67"/>
      <c r="AF80" s="42"/>
      <c r="AG80" s="41"/>
      <c r="AH80" s="41"/>
      <c r="AI80" s="41"/>
      <c r="AJ80" s="43"/>
      <c r="AK80" s="54"/>
      <c r="AL80" s="54"/>
      <c r="BP80" s="54"/>
      <c r="BQ80" s="54"/>
      <c r="BR80" s="54"/>
      <c r="BS80" s="54"/>
      <c r="BT80" s="54"/>
      <c r="BU80" s="54"/>
      <c r="BV80" s="54"/>
      <c r="BW80" s="54"/>
      <c r="BX80" s="54"/>
      <c r="BY80" s="54"/>
      <c r="BZ80" s="54"/>
      <c r="CA80" s="54"/>
      <c r="CB80" s="54">
        <v>10</v>
      </c>
      <c r="CC80" s="54">
        <f>(2.66*CJ$12^1.25)*((6.74*(CB80/100)^0.7)+0.4+(P$15/CJ$11)*P$16)*1000</f>
        <v>715.81297136172338</v>
      </c>
      <c r="CD80" s="54"/>
      <c r="CE80" s="54"/>
      <c r="CF80" s="54"/>
      <c r="CG80" s="33"/>
      <c r="CI80" s="53" t="e">
        <f>IF(CJ79&gt;CJ78*1.2,"Channel Length Can Be Increased",IF(CJ79&gt;CJ78,"Channel Length Is OK","Insufficient Capacity, Decrease Channel Length"))</f>
        <v>#VALUE!</v>
      </c>
      <c r="EG80" s="29"/>
      <c r="EH80" s="29">
        <v>1000</v>
      </c>
      <c r="EI80" s="29">
        <v>217.1</v>
      </c>
      <c r="EJ80" s="29">
        <v>173.1</v>
      </c>
      <c r="EK80" s="29">
        <v>145.9</v>
      </c>
      <c r="EL80" s="29">
        <v>102.7</v>
      </c>
      <c r="EM80" s="29">
        <v>81.5</v>
      </c>
      <c r="EN80" s="29">
        <v>68.400000000000006</v>
      </c>
      <c r="EO80" s="29">
        <v>43.1</v>
      </c>
      <c r="EP80" s="29">
        <v>25.7</v>
      </c>
      <c r="EQ80" s="29">
        <v>15</v>
      </c>
      <c r="FF80" s="29">
        <v>76</v>
      </c>
      <c r="FG80" s="29">
        <f t="shared" si="35"/>
        <v>4.7752208334564852</v>
      </c>
      <c r="FH80" s="29">
        <f>($P$20/2000)*SIN(FG80)+($P$20/2000)</f>
        <v>4.9331789293211026E-4</v>
      </c>
      <c r="FI80" s="29">
        <f>($P$20/2000)*COS(FG80)+$P$20/2000</f>
        <v>0.2656976298823282</v>
      </c>
      <c r="FL80" s="29">
        <f>IF($P$19="Hexagon",EU80,IF(OR($P$19="Kerbdrain150",$P$19="Kerbdrain280"),FA80,IF(OR($P$19="Channel100",$P$19="Channel150",$P$19="Channel200",$P$19="Channel430"),EW80,IF(AND($P$19="Oval",$CJ$11=0.15),FH80,IF(AND($P$19="Oval",$CJ$11=0.225),FH80,IF(AND($P$19="Oval",$CJ$11=0.35),FH80,IF(AND($P$19="Oval",$CJ$11=0.55),FH80,IF(AND($P$19="Oval",$CJ$11=0.7),FD80,IF(AND($P$19="Oval",$CJ$11=0.9),FD80,"")))))))))</f>
        <v>0</v>
      </c>
      <c r="FM80" s="29">
        <f>IF($P$19="Hexagon",EV80,IF(OR($P$19="Kerbdrain150",$P$19="Kerbdrain280"),FB80,IF(OR($P$19="Channel100",$P$19="Channel150",$P$19="Channel200",$P$19="Channel430"),EX80,IF(AND($P$19="Oval",$CJ$11=0.15),FI80,IF(AND($P$19="Oval",$CJ$11=0.225),FI80,IF(AND($P$19="Oval",$CJ$11=0.35),FI80,IF(AND($P$19="Oval",$CJ$11=0.55),FI80,IF(AND($P$19="Oval",$CJ$11=0.7),FE80,IF(AND($P$19="Oval",$CJ$11=0.9),FE80,"")))))))))</f>
        <v>0</v>
      </c>
      <c r="FP80" s="29">
        <f>IF(MAX(FL$5:FM$104)&lt;0.5,FL80*2,FL80)</f>
        <v>0</v>
      </c>
      <c r="FQ80" s="29">
        <f>IF(MAX(FL$5:FM$104)&lt;0.5,FM80*2,FM80)</f>
        <v>0</v>
      </c>
      <c r="FT80" s="29">
        <f>IF(AND(FP80=0,FQ80=0),FT79,FP80+(0.5*(1-MAX(FP$5:FP$104))))</f>
        <v>0.5</v>
      </c>
      <c r="FU80" s="29">
        <f>IF(AND(FP80=0,FQ80=0),FU79,FQ80+(0.5*(1-MAX(FQ$5:FQ$104))))</f>
        <v>0.21600000000000003</v>
      </c>
      <c r="GK80" s="51">
        <v>76</v>
      </c>
      <c r="GL80" s="51">
        <f t="shared" si="36"/>
        <v>4.7752208334564852</v>
      </c>
      <c r="GM80" s="51">
        <f>($M$66/2000)*SIN(GL80)+($M$66/2000)</f>
        <v>4.9331789293211026E-4</v>
      </c>
      <c r="GN80" s="51">
        <f>($M$66/2000)*COS(GL80)+$M$66/2000</f>
        <v>0.2656976298823282</v>
      </c>
      <c r="GQ80" s="51">
        <f>IF($M$65="Hexagon",FZ80,IF(OR($M$65="Kerbdrain150",$M$65="Kerbdrain280"),GF80,IF(OR($M$65="Channel100",$M$65="Channel150",$M$65="Channel200",$M$65="Channel430"),GB80,IF(AND($M$65="Oval",$CL$11=0.15),GM80,IF(AND($M$65="Oval",$CL$11=0.225),GM80,IF(AND($M$65="Oval",$CL$11=0.35),GM80,IF(AND($M$65="Oval",$CL$11=0.55),GM80,IF(AND($M$65="Oval",$CL$11=0.7),GI80,IF(AND($M$65="Oval",$CL$11=0.9),GI80,"")))))))))</f>
        <v>0</v>
      </c>
      <c r="GR80" s="51">
        <f>IF($M$65="Hexagon",GA80,IF(OR($M$65="Kerbdrain150",$M$65="Kerbdrain280"),GG80,IF(OR($M$65="Channel100",$M$65="Channel150",$M$65="Channel200",$M$65="Channel430"),GC80,IF(AND($M$65="Oval",$CL$11=0.15),GN80,IF(AND($M$65="Oval",$CL$11=0.225),GN80,IF(AND($M$65="Oval",$CL$11=0.35),GN80,IF(AND($M$65="Oval",$CL$11=0.55),GN80,IF(AND($M$65="Oval",$CL$11=0.7),GJ80,IF(AND($M$65="Oval",$CL$11=0.9),GJ80,"")))))))))</f>
        <v>0</v>
      </c>
      <c r="GU80" s="51">
        <f>IF(MAX(GQ$5:GR$104)&lt;0.5,GQ80*2,GQ80)</f>
        <v>0</v>
      </c>
      <c r="GV80" s="51">
        <f>IF(MAX(GQ$5:GR$104)&lt;0.5,GR80*2,GR80)</f>
        <v>0</v>
      </c>
      <c r="GY80" s="51">
        <f>IF(AND(GU80=0,GV80=0),GY79,GU80+(0.5*(1-MAX(GU$5:GU$104))))</f>
        <v>0.5</v>
      </c>
      <c r="GZ80" s="51">
        <f>IF(AND(GU80=0,GV80=0),GZ79,GV80+(0.5*(1-MAX(GV$5:GV$104))))</f>
        <v>0.21600000000000003</v>
      </c>
    </row>
    <row r="81" spans="2:208">
      <c r="B81" s="9"/>
      <c r="C81" s="10"/>
      <c r="D81" s="10"/>
      <c r="E81" s="10"/>
      <c r="F81" s="11"/>
      <c r="G81" s="70"/>
      <c r="H81" s="37"/>
      <c r="I81" s="37"/>
      <c r="J81" s="37"/>
      <c r="K81" s="37"/>
      <c r="L81" s="37"/>
      <c r="M81" s="37"/>
      <c r="N81" s="37"/>
      <c r="O81" s="37"/>
      <c r="P81" s="37"/>
      <c r="Q81" s="37"/>
      <c r="R81" s="37"/>
      <c r="S81" s="37"/>
      <c r="T81" s="37"/>
      <c r="U81" s="41"/>
      <c r="V81" s="41"/>
      <c r="W81" s="41"/>
      <c r="X81" s="41"/>
      <c r="Y81" s="41"/>
      <c r="Z81" s="41"/>
      <c r="AA81" s="41"/>
      <c r="AB81" s="41"/>
      <c r="AC81" s="41"/>
      <c r="AD81" s="41"/>
      <c r="AE81" s="67"/>
      <c r="AF81" s="42"/>
      <c r="AG81" s="41"/>
      <c r="AH81" s="41"/>
      <c r="AI81" s="41"/>
      <c r="AJ81" s="43"/>
      <c r="AK81" s="54"/>
      <c r="AL81" s="54"/>
      <c r="BP81" s="54"/>
      <c r="BQ81" s="54"/>
      <c r="BR81" s="54"/>
      <c r="BS81" s="54"/>
      <c r="BT81" s="54"/>
      <c r="BU81" s="54"/>
      <c r="BV81" s="54"/>
      <c r="BW81" s="54"/>
      <c r="BX81" s="54"/>
      <c r="BY81" s="54"/>
      <c r="BZ81" s="54"/>
      <c r="CA81" s="54"/>
      <c r="CB81" s="54"/>
      <c r="CC81" s="54"/>
      <c r="CD81" s="54"/>
      <c r="CE81" s="54"/>
      <c r="CF81" s="54"/>
      <c r="CG81" s="33"/>
      <c r="FF81" s="29">
        <v>77</v>
      </c>
      <c r="FG81" s="29">
        <f t="shared" si="35"/>
        <v>4.8380526865282816</v>
      </c>
      <c r="FH81" s="29">
        <f>($P$20/2000)*SIN(FG81)+($P$20/2000)</f>
        <v>1.971324671380531E-3</v>
      </c>
      <c r="FI81" s="29">
        <f>($P$20/2000)*COS(FG81)+$P$20/2000</f>
        <v>0.28133330839107606</v>
      </c>
      <c r="FL81" s="29">
        <f>IF($P$19="Hexagon",EU81,IF(OR($P$19="Kerbdrain150",$P$19="Kerbdrain280"),FA81,IF(OR($P$19="Channel100",$P$19="Channel150",$P$19="Channel200",$P$19="Channel430"),EW81,IF(AND($P$19="Oval",$CJ$11=0.15),FH81,IF(AND($P$19="Oval",$CJ$11=0.225),FH81,IF(AND($P$19="Oval",$CJ$11=0.35),FH81,IF(AND($P$19="Oval",$CJ$11=0.55),FH81,IF(AND($P$19="Oval",$CJ$11=0.7),FD81,IF(AND($P$19="Oval",$CJ$11=0.9),FD81,"")))))))))</f>
        <v>0</v>
      </c>
      <c r="FM81" s="29">
        <f>IF($P$19="Hexagon",EV81,IF(OR($P$19="Kerbdrain150",$P$19="Kerbdrain280"),FB81,IF(OR($P$19="Channel100",$P$19="Channel150",$P$19="Channel200",$P$19="Channel430"),EX81,IF(AND($P$19="Oval",$CJ$11=0.15),FI81,IF(AND($P$19="Oval",$CJ$11=0.225),FI81,IF(AND($P$19="Oval",$CJ$11=0.35),FI81,IF(AND($P$19="Oval",$CJ$11=0.55),FI81,IF(AND($P$19="Oval",$CJ$11=0.7),FE81,IF(AND($P$19="Oval",$CJ$11=0.9),FE81,"")))))))))</f>
        <v>0</v>
      </c>
      <c r="FP81" s="29">
        <f>IF(MAX(FL$5:FM$104)&lt;0.5,FL81*2,FL81)</f>
        <v>0</v>
      </c>
      <c r="FQ81" s="29">
        <f>IF(MAX(FL$5:FM$104)&lt;0.5,FM81*2,FM81)</f>
        <v>0</v>
      </c>
      <c r="FT81" s="29">
        <f>IF(AND(FP81=0,FQ81=0),FT80,FP81+(0.5*(1-MAX(FP$5:FP$104))))</f>
        <v>0.5</v>
      </c>
      <c r="FU81" s="29">
        <f>IF(AND(FP81=0,FQ81=0),FU80,FQ81+(0.5*(1-MAX(FQ$5:FQ$104))))</f>
        <v>0.21600000000000003</v>
      </c>
      <c r="GK81" s="51">
        <v>77</v>
      </c>
      <c r="GL81" s="51">
        <f t="shared" si="36"/>
        <v>4.8380526865282816</v>
      </c>
      <c r="GM81" s="51">
        <f>($M$66/2000)*SIN(GL81)+($M$66/2000)</f>
        <v>1.971324671380531E-3</v>
      </c>
      <c r="GN81" s="51">
        <f>($M$66/2000)*COS(GL81)+$M$66/2000</f>
        <v>0.28133330839107606</v>
      </c>
      <c r="GQ81" s="51">
        <f>IF($M$65="Hexagon",FZ81,IF(OR($M$65="Kerbdrain150",$M$65="Kerbdrain280"),GF81,IF(OR($M$65="Channel100",$M$65="Channel150",$M$65="Channel200",$M$65="Channel430"),GB81,IF(AND($M$65="Oval",$CL$11=0.15),GM81,IF(AND($M$65="Oval",$CL$11=0.225),GM81,IF(AND($M$65="Oval",$CL$11=0.35),GM81,IF(AND($M$65="Oval",$CL$11=0.55),GM81,IF(AND($M$65="Oval",$CL$11=0.7),GI81,IF(AND($M$65="Oval",$CL$11=0.9),GI81,"")))))))))</f>
        <v>0</v>
      </c>
      <c r="GR81" s="51">
        <f>IF($M$65="Hexagon",GA81,IF(OR($M$65="Kerbdrain150",$M$65="Kerbdrain280"),GG81,IF(OR($M$65="Channel100",$M$65="Channel150",$M$65="Channel200",$M$65="Channel430"),GC81,IF(AND($M$65="Oval",$CL$11=0.15),GN81,IF(AND($M$65="Oval",$CL$11=0.225),GN81,IF(AND($M$65="Oval",$CL$11=0.35),GN81,IF(AND($M$65="Oval",$CL$11=0.55),GN81,IF(AND($M$65="Oval",$CL$11=0.7),GJ81,IF(AND($M$65="Oval",$CL$11=0.9),GJ81,"")))))))))</f>
        <v>0</v>
      </c>
      <c r="GU81" s="51">
        <f>IF(MAX(GQ$5:GR$104)&lt;0.5,GQ81*2,GQ81)</f>
        <v>0</v>
      </c>
      <c r="GV81" s="51">
        <f>IF(MAX(GQ$5:GR$104)&lt;0.5,GR81*2,GR81)</f>
        <v>0</v>
      </c>
      <c r="GY81" s="51">
        <f>IF(AND(GU81=0,GV81=0),GY80,GU81+(0.5*(1-MAX(GU$5:GU$104))))</f>
        <v>0.5</v>
      </c>
      <c r="GZ81" s="51">
        <f>IF(AND(GU81=0,GV81=0),GZ80,GV81+(0.5*(1-MAX(GV$5:GV$104))))</f>
        <v>0.21600000000000003</v>
      </c>
    </row>
    <row r="82" spans="2:208">
      <c r="B82" s="9"/>
      <c r="C82" s="10"/>
      <c r="D82" s="10"/>
      <c r="E82" s="10"/>
      <c r="F82" s="11"/>
      <c r="G82" s="70"/>
      <c r="H82" s="37"/>
      <c r="I82" s="37"/>
      <c r="J82" s="37"/>
      <c r="K82" s="37"/>
      <c r="L82" s="37"/>
      <c r="M82" s="37"/>
      <c r="N82" s="37"/>
      <c r="O82" s="37"/>
      <c r="P82" s="37"/>
      <c r="Q82" s="37"/>
      <c r="R82" s="37"/>
      <c r="S82" s="37"/>
      <c r="T82" s="37"/>
      <c r="U82" s="41"/>
      <c r="V82" s="41"/>
      <c r="W82" s="41"/>
      <c r="X82" s="41"/>
      <c r="Y82" s="41"/>
      <c r="Z82" s="41"/>
      <c r="AA82" s="41"/>
      <c r="AB82" s="41"/>
      <c r="AC82" s="41"/>
      <c r="AD82" s="41"/>
      <c r="AE82" s="67"/>
      <c r="AF82" s="42"/>
      <c r="AG82" s="41"/>
      <c r="AH82" s="41"/>
      <c r="AI82" s="41"/>
      <c r="AJ82" s="43"/>
      <c r="AK82" s="54"/>
      <c r="AL82" s="54"/>
      <c r="BP82" s="54"/>
      <c r="BQ82" s="54"/>
      <c r="BR82" s="54"/>
      <c r="BS82" s="54"/>
      <c r="BT82" s="54"/>
      <c r="BU82" s="54"/>
      <c r="BV82" s="54"/>
      <c r="BW82" s="54"/>
      <c r="BX82" s="54"/>
      <c r="BY82" s="54"/>
      <c r="BZ82" s="54"/>
      <c r="CA82" s="54"/>
      <c r="CB82" s="54"/>
      <c r="CC82" s="54"/>
      <c r="CD82" s="54"/>
      <c r="CE82" s="54"/>
      <c r="CF82" s="54"/>
      <c r="CG82" s="33"/>
      <c r="CI82" s="53" t="s">
        <v>117</v>
      </c>
      <c r="CJ82" s="29">
        <f>MIN(P62,VLOOKUP(0,CK83:CL182,2,FALSE))</f>
        <v>4</v>
      </c>
      <c r="CO82" s="53" t="s">
        <v>118</v>
      </c>
      <c r="CP82" s="29">
        <f>MIN(P62-CJ82,VLOOKUP(0,CQ83:CR182,2,FALSE))</f>
        <v>9</v>
      </c>
      <c r="CU82" s="53" t="s">
        <v>119</v>
      </c>
      <c r="CV82" s="29">
        <f>MIN(P62-CJ82-CP82,VLOOKUP(0,CW83:CX182,2,FALSE))</f>
        <v>13</v>
      </c>
      <c r="DA82" s="53" t="s">
        <v>120</v>
      </c>
      <c r="DB82" s="29">
        <f>MIN(P62-CJ82-CP82-CV82,VLOOKUP(0,DC83:DD182,2,FALSE))</f>
        <v>30</v>
      </c>
      <c r="DF82" s="51"/>
      <c r="DG82" s="59" t="s">
        <v>121</v>
      </c>
      <c r="DH82" s="51">
        <f>MIN(P62-CJ82-CP82-CV82-DB82,VLOOKUP(0,DI83:DJ182,2,FALSE))</f>
        <v>42</v>
      </c>
      <c r="DI82" s="51"/>
      <c r="DJ82" s="51"/>
      <c r="DL82" s="51"/>
      <c r="DM82" s="59" t="s">
        <v>122</v>
      </c>
      <c r="DN82" s="51">
        <f>IF(CJ73="N/A",0,MIN(P62-CJ82-CP82-CV82-DB82-DH82,VLOOKUP(0,DO83:DP182,2,FALSE)))</f>
        <v>0</v>
      </c>
      <c r="DO82" s="51"/>
      <c r="DP82" s="51"/>
      <c r="FF82" s="29">
        <v>78</v>
      </c>
      <c r="FG82" s="29">
        <f t="shared" si="35"/>
        <v>4.9008845396000771</v>
      </c>
      <c r="FH82" s="29">
        <f>($P$20/2000)*SIN(FG82)+($P$20/2000)</f>
        <v>4.4281873178278197E-3</v>
      </c>
      <c r="FI82" s="29">
        <f>($P$20/2000)*COS(FG82)+$P$20/2000</f>
        <v>0.29684532864643109</v>
      </c>
      <c r="FL82" s="29">
        <f>IF($P$19="Hexagon",EU82,IF(OR($P$19="Kerbdrain150",$P$19="Kerbdrain280"),FA82,IF(OR($P$19="Channel100",$P$19="Channel150",$P$19="Channel200",$P$19="Channel430"),EW82,IF(AND($P$19="Oval",$CJ$11=0.15),FH82,IF(AND($P$19="Oval",$CJ$11=0.225),FH82,IF(AND($P$19="Oval",$CJ$11=0.35),FH82,IF(AND($P$19="Oval",$CJ$11=0.55),FH82,IF(AND($P$19="Oval",$CJ$11=0.7),FD82,IF(AND($P$19="Oval",$CJ$11=0.9),FD82,"")))))))))</f>
        <v>0</v>
      </c>
      <c r="FM82" s="29">
        <f>IF($P$19="Hexagon",EV82,IF(OR($P$19="Kerbdrain150",$P$19="Kerbdrain280"),FB82,IF(OR($P$19="Channel100",$P$19="Channel150",$P$19="Channel200",$P$19="Channel430"),EX82,IF(AND($P$19="Oval",$CJ$11=0.15),FI82,IF(AND($P$19="Oval",$CJ$11=0.225),FI82,IF(AND($P$19="Oval",$CJ$11=0.35),FI82,IF(AND($P$19="Oval",$CJ$11=0.55),FI82,IF(AND($P$19="Oval",$CJ$11=0.7),FE82,IF(AND($P$19="Oval",$CJ$11=0.9),FE82,"")))))))))</f>
        <v>0</v>
      </c>
      <c r="FP82" s="29">
        <f>IF(MAX(FL$5:FM$104)&lt;0.5,FL82*2,FL82)</f>
        <v>0</v>
      </c>
      <c r="FQ82" s="29">
        <f>IF(MAX(FL$5:FM$104)&lt;0.5,FM82*2,FM82)</f>
        <v>0</v>
      </c>
      <c r="FT82" s="29">
        <f>IF(AND(FP82=0,FQ82=0),FT81,FP82+(0.5*(1-MAX(FP$5:FP$104))))</f>
        <v>0.5</v>
      </c>
      <c r="FU82" s="29">
        <f>IF(AND(FP82=0,FQ82=0),FU81,FQ82+(0.5*(1-MAX(FQ$5:FQ$104))))</f>
        <v>0.21600000000000003</v>
      </c>
      <c r="GK82" s="51">
        <v>78</v>
      </c>
      <c r="GL82" s="51">
        <f t="shared" si="36"/>
        <v>4.9008845396000771</v>
      </c>
      <c r="GM82" s="51">
        <f>($M$66/2000)*SIN(GL82)+($M$66/2000)</f>
        <v>4.4281873178278197E-3</v>
      </c>
      <c r="GN82" s="51">
        <f>($M$66/2000)*COS(GL82)+$M$66/2000</f>
        <v>0.29684532864643109</v>
      </c>
      <c r="GQ82" s="51">
        <f>IF($M$65="Hexagon",FZ82,IF(OR($M$65="Kerbdrain150",$M$65="Kerbdrain280"),GF82,IF(OR($M$65="Channel100",$M$65="Channel150",$M$65="Channel200",$M$65="Channel430"),GB82,IF(AND($M$65="Oval",$CL$11=0.15),GM82,IF(AND($M$65="Oval",$CL$11=0.225),GM82,IF(AND($M$65="Oval",$CL$11=0.35),GM82,IF(AND($M$65="Oval",$CL$11=0.55),GM82,IF(AND($M$65="Oval",$CL$11=0.7),GI82,IF(AND($M$65="Oval",$CL$11=0.9),GI82,"")))))))))</f>
        <v>0</v>
      </c>
      <c r="GR82" s="51">
        <f>IF($M$65="Hexagon",GA82,IF(OR($M$65="Kerbdrain150",$M$65="Kerbdrain280"),GG82,IF(OR($M$65="Channel100",$M$65="Channel150",$M$65="Channel200",$M$65="Channel430"),GC82,IF(AND($M$65="Oval",$CL$11=0.15),GN82,IF(AND($M$65="Oval",$CL$11=0.225),GN82,IF(AND($M$65="Oval",$CL$11=0.35),GN82,IF(AND($M$65="Oval",$CL$11=0.55),GN82,IF(AND($M$65="Oval",$CL$11=0.7),GJ82,IF(AND($M$65="Oval",$CL$11=0.9),GJ82,"")))))))))</f>
        <v>0</v>
      </c>
      <c r="GU82" s="51">
        <f>IF(MAX(GQ$5:GR$104)&lt;0.5,GQ82*2,GQ82)</f>
        <v>0</v>
      </c>
      <c r="GV82" s="51">
        <f>IF(MAX(GQ$5:GR$104)&lt;0.5,GR82*2,GR82)</f>
        <v>0</v>
      </c>
      <c r="GY82" s="51">
        <f>IF(AND(GU82=0,GV82=0),GY81,GU82+(0.5*(1-MAX(GU$5:GU$104))))</f>
        <v>0.5</v>
      </c>
      <c r="GZ82" s="51">
        <f>IF(AND(GU82=0,GV82=0),GZ81,GV82+(0.5*(1-MAX(GV$5:GV$104))))</f>
        <v>0.21600000000000003</v>
      </c>
    </row>
    <row r="83" spans="2:208">
      <c r="B83" s="9"/>
      <c r="C83" s="10"/>
      <c r="D83" s="10"/>
      <c r="E83" s="10"/>
      <c r="F83" s="11"/>
      <c r="G83" s="70"/>
      <c r="H83" s="37"/>
      <c r="I83" s="37"/>
      <c r="J83" s="37"/>
      <c r="K83" s="37"/>
      <c r="L83" s="37"/>
      <c r="M83" s="37"/>
      <c r="N83" s="37"/>
      <c r="O83" s="37"/>
      <c r="P83" s="37"/>
      <c r="Q83" s="37"/>
      <c r="R83" s="37"/>
      <c r="S83" s="37"/>
      <c r="T83" s="37"/>
      <c r="U83" s="41"/>
      <c r="V83" s="41"/>
      <c r="W83" s="41"/>
      <c r="X83" s="41"/>
      <c r="Y83" s="41"/>
      <c r="Z83" s="41"/>
      <c r="AA83" s="41"/>
      <c r="AB83" s="41"/>
      <c r="AC83" s="41"/>
      <c r="AD83" s="41"/>
      <c r="AE83" s="67"/>
      <c r="AF83" s="42"/>
      <c r="AG83" s="41"/>
      <c r="AH83" s="41"/>
      <c r="AI83" s="41"/>
      <c r="AJ83" s="43"/>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v>0</v>
      </c>
      <c r="CC83" s="66">
        <f>W31</f>
        <v>292.956032919493</v>
      </c>
      <c r="CD83" s="54"/>
      <c r="CE83" s="54"/>
      <c r="CF83" s="54"/>
      <c r="CG83" s="33"/>
      <c r="CH83" s="33">
        <v>1</v>
      </c>
      <c r="CI83" s="33">
        <f t="shared" ref="CI83:CI146" si="37">$CJ$27*CH83</f>
        <v>3.0694444444444446</v>
      </c>
      <c r="CJ83" s="33">
        <f t="shared" ref="CJ83:CJ146" si="38">(2.66*$CJ$31^1.25)*((6.74*($CJ$22/100)^0.7)+0.4+(CH83/$CJ$30)*$CJ$23)*1000</f>
        <v>14.275475116815249</v>
      </c>
      <c r="CK83" s="33">
        <f>MAX(0,CJ83-CI83)</f>
        <v>11.206030672370805</v>
      </c>
      <c r="CL83" s="29">
        <v>0</v>
      </c>
      <c r="CN83" s="33">
        <v>1</v>
      </c>
      <c r="CO83" s="33">
        <f>$CJ$27*(CN83+$CJ$82)</f>
        <v>15.347222222222223</v>
      </c>
      <c r="CP83" s="33">
        <f>(2.66*$CJ$39^1.25)*((6.74*($CJ$22/100)^0.7)+0.4+(CN83/$CJ$38)*$CJ$23)*1000</f>
        <v>39.489077981055381</v>
      </c>
      <c r="CQ83" s="33">
        <f>MAX(0,CP83-CO83)</f>
        <v>24.141855758833159</v>
      </c>
      <c r="CR83" s="29">
        <v>0</v>
      </c>
      <c r="CT83" s="33">
        <v>1</v>
      </c>
      <c r="CU83" s="33">
        <f>$CJ$27*(CT83+$CP$82+$CJ$82)</f>
        <v>42.972222222222229</v>
      </c>
      <c r="CV83" s="33">
        <f>(2.66*$CJ$48^1.25)*((6.74*($CJ$22/100)^0.7)+0.4+(CT83/$CJ$47)*$CJ$23)*1000</f>
        <v>80.853434755480976</v>
      </c>
      <c r="CW83" s="33">
        <f>MAX(0,CV83-CU83)</f>
        <v>37.881212533258747</v>
      </c>
      <c r="CX83" s="29">
        <v>0</v>
      </c>
      <c r="CZ83" s="33">
        <v>1</v>
      </c>
      <c r="DA83" s="33">
        <f>$CJ$27*(CZ83+$CP$82+$CV$82+$CJ$82)</f>
        <v>82.875</v>
      </c>
      <c r="DB83" s="33">
        <f>(2.66*$CJ$57^1.25)*((6.74*($CJ$22/100)^0.7)+0.4+(CZ83/$CJ$56)*$CJ$23)*1000</f>
        <v>166.20823238090549</v>
      </c>
      <c r="DC83" s="33">
        <f>MAX(0,DB83-DA83)</f>
        <v>83.333232380905486</v>
      </c>
      <c r="DD83" s="29">
        <v>0</v>
      </c>
      <c r="DF83" s="60">
        <v>1</v>
      </c>
      <c r="DG83" s="60">
        <f>$CJ$27*(DF83+$CP$82+$CV$82+$CJ$82+$DB$82)</f>
        <v>174.95833333333334</v>
      </c>
      <c r="DH83" s="60">
        <f>(2.66*$CJ$66^1.25)*((6.74*($CJ$22/100)^0.7)+0.4+(DF83/$CJ$65)*$CJ$23)*1000</f>
        <v>290.95698087092569</v>
      </c>
      <c r="DI83" s="60">
        <f>MAX(0,DH83-DG83)</f>
        <v>115.99864753759235</v>
      </c>
      <c r="DJ83" s="51">
        <v>0</v>
      </c>
      <c r="DL83" s="60">
        <v>1</v>
      </c>
      <c r="DM83" s="60">
        <f>$CJ$27*(DL83+$CP$82+$CV$82+$CJ$82+$DB$82+$DH$82)</f>
        <v>303.875</v>
      </c>
      <c r="DN83" s="60" t="e">
        <f>(2.66*$CJ$75^1.25)*((6.74*($CJ$22/100)^0.7)+0.4+(DL83/$CJ$74)*$CJ$23)*1000</f>
        <v>#VALUE!</v>
      </c>
      <c r="DO83" s="60" t="e">
        <f>MAX(0,DN83-DM83)</f>
        <v>#VALUE!</v>
      </c>
      <c r="DP83" s="51">
        <v>0</v>
      </c>
      <c r="EG83" s="29" t="s">
        <v>36</v>
      </c>
      <c r="EH83" s="29" t="s">
        <v>16</v>
      </c>
      <c r="EI83" s="29" t="s">
        <v>37</v>
      </c>
      <c r="EJ83" s="29"/>
      <c r="EK83" s="29"/>
      <c r="EL83" s="29"/>
      <c r="EM83" s="29"/>
      <c r="EN83" s="29"/>
      <c r="EO83" s="29"/>
      <c r="FF83" s="29">
        <v>79</v>
      </c>
      <c r="FG83" s="29">
        <f t="shared" si="35"/>
        <v>4.9637163926718735</v>
      </c>
      <c r="FH83" s="29">
        <f>($P$20/2000)*SIN(FG83)+($P$20/2000)</f>
        <v>7.854209717842231E-3</v>
      </c>
      <c r="FI83" s="29">
        <f>($P$20/2000)*COS(FG83)+$P$20/2000</f>
        <v>0.31217247179121371</v>
      </c>
      <c r="FL83" s="29">
        <f>IF($P$19="Hexagon",EU83,IF(OR($P$19="Kerbdrain150",$P$19="Kerbdrain280"),FA83,IF(OR($P$19="Channel100",$P$19="Channel150",$P$19="Channel200",$P$19="Channel430"),EW83,IF(AND($P$19="Oval",$CJ$11=0.15),FH83,IF(AND($P$19="Oval",$CJ$11=0.225),FH83,IF(AND($P$19="Oval",$CJ$11=0.35),FH83,IF(AND($P$19="Oval",$CJ$11=0.55),FH83,IF(AND($P$19="Oval",$CJ$11=0.7),FD83,IF(AND($P$19="Oval",$CJ$11=0.9),FD83,"")))))))))</f>
        <v>0</v>
      </c>
      <c r="FM83" s="29">
        <f>IF($P$19="Hexagon",EV83,IF(OR($P$19="Kerbdrain150",$P$19="Kerbdrain280"),FB83,IF(OR($P$19="Channel100",$P$19="Channel150",$P$19="Channel200",$P$19="Channel430"),EX83,IF(AND($P$19="Oval",$CJ$11=0.15),FI83,IF(AND($P$19="Oval",$CJ$11=0.225),FI83,IF(AND($P$19="Oval",$CJ$11=0.35),FI83,IF(AND($P$19="Oval",$CJ$11=0.55),FI83,IF(AND($P$19="Oval",$CJ$11=0.7),FE83,IF(AND($P$19="Oval",$CJ$11=0.9),FE83,"")))))))))</f>
        <v>0</v>
      </c>
      <c r="FP83" s="29">
        <f>IF(MAX(FL$5:FM$104)&lt;0.5,FL83*2,FL83)</f>
        <v>0</v>
      </c>
      <c r="FQ83" s="29">
        <f>IF(MAX(FL$5:FM$104)&lt;0.5,FM83*2,FM83)</f>
        <v>0</v>
      </c>
      <c r="FT83" s="29">
        <f>IF(AND(FP83=0,FQ83=0),FT82,FP83+(0.5*(1-MAX(FP$5:FP$104))))</f>
        <v>0.5</v>
      </c>
      <c r="FU83" s="29">
        <f>IF(AND(FP83=0,FQ83=0),FU82,FQ83+(0.5*(1-MAX(FQ$5:FQ$104))))</f>
        <v>0.21600000000000003</v>
      </c>
      <c r="GK83" s="51">
        <v>79</v>
      </c>
      <c r="GL83" s="51">
        <f t="shared" si="36"/>
        <v>4.9637163926718735</v>
      </c>
      <c r="GM83" s="51">
        <f>($M$66/2000)*SIN(GL83)+($M$66/2000)</f>
        <v>7.854209717842231E-3</v>
      </c>
      <c r="GN83" s="51">
        <f>($M$66/2000)*COS(GL83)+$M$66/2000</f>
        <v>0.31217247179121371</v>
      </c>
      <c r="GQ83" s="51">
        <f>IF($M$65="Hexagon",FZ83,IF(OR($M$65="Kerbdrain150",$M$65="Kerbdrain280"),GF83,IF(OR($M$65="Channel100",$M$65="Channel150",$M$65="Channel200",$M$65="Channel430"),GB83,IF(AND($M$65="Oval",$CL$11=0.15),GM83,IF(AND($M$65="Oval",$CL$11=0.225),GM83,IF(AND($M$65="Oval",$CL$11=0.35),GM83,IF(AND($M$65="Oval",$CL$11=0.55),GM83,IF(AND($M$65="Oval",$CL$11=0.7),GI83,IF(AND($M$65="Oval",$CL$11=0.9),GI83,"")))))))))</f>
        <v>0</v>
      </c>
      <c r="GR83" s="51">
        <f>IF($M$65="Hexagon",GA83,IF(OR($M$65="Kerbdrain150",$M$65="Kerbdrain280"),GG83,IF(OR($M$65="Channel100",$M$65="Channel150",$M$65="Channel200",$M$65="Channel430"),GC83,IF(AND($M$65="Oval",$CL$11=0.15),GN83,IF(AND($M$65="Oval",$CL$11=0.225),GN83,IF(AND($M$65="Oval",$CL$11=0.35),GN83,IF(AND($M$65="Oval",$CL$11=0.55),GN83,IF(AND($M$65="Oval",$CL$11=0.7),GJ83,IF(AND($M$65="Oval",$CL$11=0.9),GJ83,"")))))))))</f>
        <v>0</v>
      </c>
      <c r="GU83" s="51">
        <f>IF(MAX(GQ$5:GR$104)&lt;0.5,GQ83*2,GQ83)</f>
        <v>0</v>
      </c>
      <c r="GV83" s="51">
        <f>IF(MAX(GQ$5:GR$104)&lt;0.5,GR83*2,GR83)</f>
        <v>0</v>
      </c>
      <c r="GY83" s="51">
        <f>IF(AND(GU83=0,GV83=0),GY82,GU83+(0.5*(1-MAX(GU$5:GU$104))))</f>
        <v>0.5</v>
      </c>
      <c r="GZ83" s="51">
        <f>IF(AND(GU83=0,GV83=0),GZ82,GV83+(0.5*(1-MAX(GV$5:GV$104))))</f>
        <v>0.21600000000000003</v>
      </c>
    </row>
    <row r="84" spans="2:208">
      <c r="B84" s="9"/>
      <c r="C84" s="10"/>
      <c r="D84" s="10"/>
      <c r="E84" s="10"/>
      <c r="F84" s="11"/>
      <c r="G84" s="70"/>
      <c r="H84" s="37"/>
      <c r="I84" s="37"/>
      <c r="J84" s="37"/>
      <c r="K84" s="37"/>
      <c r="L84" s="37"/>
      <c r="M84" s="37"/>
      <c r="N84" s="37"/>
      <c r="O84" s="37"/>
      <c r="P84" s="37"/>
      <c r="Q84" s="37"/>
      <c r="R84" s="37"/>
      <c r="S84" s="37"/>
      <c r="T84" s="37"/>
      <c r="U84" s="41"/>
      <c r="V84" s="41"/>
      <c r="W84" s="41"/>
      <c r="X84" s="41"/>
      <c r="Y84" s="41"/>
      <c r="Z84" s="41"/>
      <c r="AA84" s="41"/>
      <c r="AB84" s="41"/>
      <c r="AC84" s="41"/>
      <c r="AD84" s="41"/>
      <c r="AE84" s="67"/>
      <c r="AF84" s="42"/>
      <c r="AG84" s="41"/>
      <c r="AH84" s="41"/>
      <c r="AI84" s="41"/>
      <c r="AJ84" s="43"/>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f>P14</f>
        <v>1</v>
      </c>
      <c r="CC84" s="66">
        <f>CC83</f>
        <v>292.956032919493</v>
      </c>
      <c r="CD84" s="54"/>
      <c r="CE84" s="54"/>
      <c r="CF84" s="54"/>
      <c r="CG84" s="33"/>
      <c r="CH84" s="33">
        <v>2</v>
      </c>
      <c r="CI84" s="33">
        <f t="shared" si="37"/>
        <v>6.1388888888888893</v>
      </c>
      <c r="CJ84" s="33">
        <f t="shared" si="38"/>
        <v>14.32643099615324</v>
      </c>
      <c r="CK84" s="33">
        <f t="shared" ref="CK84:CK147" si="39">MAX(0,CJ84-CI84)</f>
        <v>8.1875421072643508</v>
      </c>
      <c r="CL84" s="29">
        <v>1</v>
      </c>
      <c r="CN84" s="33">
        <v>2</v>
      </c>
      <c r="CO84" s="33">
        <f t="shared" ref="CO84:CO147" si="40">$CJ$27*(CN84+$CJ$82)</f>
        <v>18.416666666666668</v>
      </c>
      <c r="CP84" s="33">
        <f t="shared" ref="CP84:CP147" si="41">(2.66*$CJ$39^1.25)*((6.74*($CJ$22/100)^0.7)+0.4+(CN84/$CJ$38)*$CJ$23)*1000</f>
        <v>39.582042586291522</v>
      </c>
      <c r="CQ84" s="33">
        <f t="shared" ref="CQ84:CQ147" si="42">MAX(0,CP84-CO84)</f>
        <v>21.165375919624854</v>
      </c>
      <c r="CR84" s="29">
        <v>1</v>
      </c>
      <c r="CT84" s="33">
        <v>2</v>
      </c>
      <c r="CU84" s="33">
        <f t="shared" ref="CU84:CU147" si="43">$CJ$27*(CT84+$CP$82+$CJ$82)</f>
        <v>46.041666666666671</v>
      </c>
      <c r="CV84" s="33">
        <f t="shared" ref="CV84:CV147" si="44">(2.66*$CJ$48^1.25)*((6.74*($CJ$22/100)^0.7)+0.4+(CT84/$CJ$47)*$CJ$23)*1000</f>
        <v>80.995433062985754</v>
      </c>
      <c r="CW84" s="33">
        <f t="shared" ref="CW84:CW147" si="45">MAX(0,CV84-CU84)</f>
        <v>34.953766396319082</v>
      </c>
      <c r="CX84" s="29">
        <v>1</v>
      </c>
      <c r="CZ84" s="33">
        <v>2</v>
      </c>
      <c r="DA84" s="33">
        <f t="shared" ref="DA84:DA147" si="46">$CJ$27*(CZ84+$CP$82+$CV$82+$CJ$82)</f>
        <v>85.944444444444457</v>
      </c>
      <c r="DB84" s="33">
        <f t="shared" ref="DB84:DB147" si="47">(2.66*$CJ$57^1.25)*((6.74*($CJ$22/100)^0.7)+0.4+(CZ84/$CJ$56)*$CJ$23)*1000</f>
        <v>166.42660988703491</v>
      </c>
      <c r="DC84" s="33">
        <f t="shared" ref="DC84:DC147" si="48">MAX(0,DB84-DA84)</f>
        <v>80.482165442590457</v>
      </c>
      <c r="DD84" s="29">
        <v>1</v>
      </c>
      <c r="DF84" s="60">
        <v>2</v>
      </c>
      <c r="DG84" s="60">
        <f t="shared" ref="DG84:DG147" si="49">$CJ$27*(DF84+$CP$82+$CV$82+$CJ$82+$DB$82)</f>
        <v>178.0277777777778</v>
      </c>
      <c r="DH84" s="60">
        <f t="shared" ref="DH84:DH147" si="50">(2.66*$CJ$66^1.25)*((6.74*($CJ$22/100)^0.7)+0.4+(DF84/$CJ$65)*$CJ$23)*1000</f>
        <v>291.26127305729631</v>
      </c>
      <c r="DI84" s="60">
        <f t="shared" ref="DI84:DI147" si="51">MAX(0,DH84-DG84)</f>
        <v>113.23349527951851</v>
      </c>
      <c r="DJ84" s="51">
        <v>1</v>
      </c>
      <c r="DL84" s="60">
        <v>2</v>
      </c>
      <c r="DM84" s="60">
        <f t="shared" ref="DM84:DM147" si="52">$CJ$27*(DL84+$CP$82+$CV$82+$CJ$82+$DB$82+$DH$82)</f>
        <v>306.94444444444446</v>
      </c>
      <c r="DN84" s="60" t="e">
        <f t="shared" ref="DN84:DN147" si="53">(2.66*$CJ$75^1.25)*((6.74*($CJ$22/100)^0.7)+0.4+(DL84/$CJ$74)*$CJ$23)*1000</f>
        <v>#VALUE!</v>
      </c>
      <c r="DO84" s="60" t="e">
        <f t="shared" ref="DO84:DO147" si="54">MAX(0,DN84-DM84)</f>
        <v>#VALUE!</v>
      </c>
      <c r="DP84" s="51">
        <v>1</v>
      </c>
      <c r="EG84" s="29"/>
      <c r="EH84" s="29"/>
      <c r="EI84" s="29">
        <v>5</v>
      </c>
      <c r="EJ84" s="29">
        <v>10</v>
      </c>
      <c r="EK84" s="29">
        <v>15</v>
      </c>
      <c r="EL84" s="29">
        <v>30</v>
      </c>
      <c r="EM84" s="29">
        <v>45</v>
      </c>
      <c r="EN84" s="29">
        <v>60</v>
      </c>
      <c r="EO84" s="29">
        <v>120</v>
      </c>
      <c r="EP84" s="29">
        <v>240</v>
      </c>
      <c r="EQ84" s="29">
        <v>480</v>
      </c>
      <c r="FF84" s="29">
        <v>80</v>
      </c>
      <c r="FG84" s="29">
        <f t="shared" si="35"/>
        <v>5.026548245743669</v>
      </c>
      <c r="FH84" s="29">
        <f>($P$20/2000)*SIN(FG84)+($P$20/2000)</f>
        <v>1.2235870926211589E-2</v>
      </c>
      <c r="FI84" s="29">
        <f>($P$20/2000)*COS(FG84)+$P$20/2000</f>
        <v>0.32725424859373681</v>
      </c>
      <c r="FL84" s="29">
        <f>IF($P$19="Hexagon",EU84,IF(OR($P$19="Kerbdrain150",$P$19="Kerbdrain280"),FA84,IF(OR($P$19="Channel100",$P$19="Channel150",$P$19="Channel200",$P$19="Channel430"),EW84,IF(AND($P$19="Oval",$CJ$11=0.15),FH84,IF(AND($P$19="Oval",$CJ$11=0.225),FH84,IF(AND($P$19="Oval",$CJ$11=0.35),FH84,IF(AND($P$19="Oval",$CJ$11=0.55),FH84,IF(AND($P$19="Oval",$CJ$11=0.7),FD84,IF(AND($P$19="Oval",$CJ$11=0.9),FD84,"")))))))))</f>
        <v>0</v>
      </c>
      <c r="FM84" s="29">
        <f>IF($P$19="Hexagon",EV84,IF(OR($P$19="Kerbdrain150",$P$19="Kerbdrain280"),FB84,IF(OR($P$19="Channel100",$P$19="Channel150",$P$19="Channel200",$P$19="Channel430"),EX84,IF(AND($P$19="Oval",$CJ$11=0.15),FI84,IF(AND($P$19="Oval",$CJ$11=0.225),FI84,IF(AND($P$19="Oval",$CJ$11=0.35),FI84,IF(AND($P$19="Oval",$CJ$11=0.55),FI84,IF(AND($P$19="Oval",$CJ$11=0.7),FE84,IF(AND($P$19="Oval",$CJ$11=0.9),FE84,"")))))))))</f>
        <v>0</v>
      </c>
      <c r="FP84" s="29">
        <f>IF(MAX(FL$5:FM$104)&lt;0.5,FL84*2,FL84)</f>
        <v>0</v>
      </c>
      <c r="FQ84" s="29">
        <f>IF(MAX(FL$5:FM$104)&lt;0.5,FM84*2,FM84)</f>
        <v>0</v>
      </c>
      <c r="FT84" s="29">
        <f>IF(AND(FP84=0,FQ84=0),FT83,FP84+(0.5*(1-MAX(FP$5:FP$104))))</f>
        <v>0.5</v>
      </c>
      <c r="FU84" s="29">
        <f>IF(AND(FP84=0,FQ84=0),FU83,FQ84+(0.5*(1-MAX(FQ$5:FQ$104))))</f>
        <v>0.21600000000000003</v>
      </c>
      <c r="GK84" s="51">
        <v>80</v>
      </c>
      <c r="GL84" s="51">
        <f t="shared" si="36"/>
        <v>5.026548245743669</v>
      </c>
      <c r="GM84" s="51">
        <f>($M$66/2000)*SIN(GL84)+($M$66/2000)</f>
        <v>1.2235870926211589E-2</v>
      </c>
      <c r="GN84" s="51">
        <f>($M$66/2000)*COS(GL84)+$M$66/2000</f>
        <v>0.32725424859373681</v>
      </c>
      <c r="GQ84" s="51">
        <f>IF($M$65="Hexagon",FZ84,IF(OR($M$65="Kerbdrain150",$M$65="Kerbdrain280"),GF84,IF(OR($M$65="Channel100",$M$65="Channel150",$M$65="Channel200",$M$65="Channel430"),GB84,IF(AND($M$65="Oval",$CL$11=0.15),GM84,IF(AND($M$65="Oval",$CL$11=0.225),GM84,IF(AND($M$65="Oval",$CL$11=0.35),GM84,IF(AND($M$65="Oval",$CL$11=0.55),GM84,IF(AND($M$65="Oval",$CL$11=0.7),GI84,IF(AND($M$65="Oval",$CL$11=0.9),GI84,"")))))))))</f>
        <v>0</v>
      </c>
      <c r="GR84" s="51">
        <f>IF($M$65="Hexagon",GA84,IF(OR($M$65="Kerbdrain150",$M$65="Kerbdrain280"),GG84,IF(OR($M$65="Channel100",$M$65="Channel150",$M$65="Channel200",$M$65="Channel430"),GC84,IF(AND($M$65="Oval",$CL$11=0.15),GN84,IF(AND($M$65="Oval",$CL$11=0.225),GN84,IF(AND($M$65="Oval",$CL$11=0.35),GN84,IF(AND($M$65="Oval",$CL$11=0.55),GN84,IF(AND($M$65="Oval",$CL$11=0.7),GJ84,IF(AND($M$65="Oval",$CL$11=0.9),GJ84,"")))))))))</f>
        <v>0</v>
      </c>
      <c r="GU84" s="51">
        <f>IF(MAX(GQ$5:GR$104)&lt;0.5,GQ84*2,GQ84)</f>
        <v>0</v>
      </c>
      <c r="GV84" s="51">
        <f>IF(MAX(GQ$5:GR$104)&lt;0.5,GR84*2,GR84)</f>
        <v>0</v>
      </c>
      <c r="GY84" s="51">
        <f>IF(AND(GU84=0,GV84=0),GY83,GU84+(0.5*(1-MAX(GU$5:GU$104))))</f>
        <v>0.5</v>
      </c>
      <c r="GZ84" s="51">
        <f>IF(AND(GU84=0,GV84=0),GZ83,GV84+(0.5*(1-MAX(GV$5:GV$104))))</f>
        <v>0.21600000000000003</v>
      </c>
    </row>
    <row r="85" spans="2:208">
      <c r="B85" s="9"/>
      <c r="C85" s="10"/>
      <c r="D85" s="10"/>
      <c r="E85" s="10"/>
      <c r="F85" s="11"/>
      <c r="G85" s="70"/>
      <c r="H85" s="37"/>
      <c r="I85" s="37"/>
      <c r="J85" s="37"/>
      <c r="K85" s="37"/>
      <c r="L85" s="37"/>
      <c r="M85" s="37"/>
      <c r="N85" s="37"/>
      <c r="O85" s="37"/>
      <c r="P85" s="37"/>
      <c r="Q85" s="37"/>
      <c r="R85" s="37"/>
      <c r="S85" s="37"/>
      <c r="T85" s="37"/>
      <c r="U85" s="41"/>
      <c r="V85" s="41"/>
      <c r="W85" s="41"/>
      <c r="X85" s="41"/>
      <c r="Y85" s="41"/>
      <c r="Z85" s="41"/>
      <c r="AA85" s="41"/>
      <c r="AB85" s="41"/>
      <c r="AC85" s="41"/>
      <c r="AD85" s="41"/>
      <c r="AE85" s="67"/>
      <c r="AF85" s="42"/>
      <c r="AG85" s="41"/>
      <c r="AH85" s="41"/>
      <c r="AI85" s="41"/>
      <c r="AJ85" s="43"/>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f>CB84</f>
        <v>1</v>
      </c>
      <c r="CC85" s="54">
        <v>0</v>
      </c>
      <c r="CD85" s="54"/>
      <c r="CE85" s="54"/>
      <c r="CF85" s="54"/>
      <c r="CG85" s="33"/>
      <c r="CH85" s="33">
        <v>3</v>
      </c>
      <c r="CI85" s="33">
        <f t="shared" si="37"/>
        <v>9.2083333333333339</v>
      </c>
      <c r="CJ85" s="33">
        <f t="shared" si="38"/>
        <v>14.377386875491235</v>
      </c>
      <c r="CK85" s="33">
        <f t="shared" si="39"/>
        <v>5.1690535421579007</v>
      </c>
      <c r="CL85" s="29">
        <v>2</v>
      </c>
      <c r="CN85" s="33">
        <v>3</v>
      </c>
      <c r="CO85" s="33">
        <f t="shared" si="40"/>
        <v>21.486111111111114</v>
      </c>
      <c r="CP85" s="33">
        <f t="shared" si="41"/>
        <v>39.675007191527655</v>
      </c>
      <c r="CQ85" s="33">
        <f t="shared" si="42"/>
        <v>18.188896080416541</v>
      </c>
      <c r="CR85" s="29">
        <v>2</v>
      </c>
      <c r="CT85" s="33">
        <v>3</v>
      </c>
      <c r="CU85" s="33">
        <f t="shared" si="43"/>
        <v>49.111111111111114</v>
      </c>
      <c r="CV85" s="33">
        <f t="shared" si="44"/>
        <v>81.137431370490503</v>
      </c>
      <c r="CW85" s="33">
        <f t="shared" si="45"/>
        <v>32.026320259379389</v>
      </c>
      <c r="CX85" s="29">
        <v>2</v>
      </c>
      <c r="CZ85" s="33">
        <v>3</v>
      </c>
      <c r="DA85" s="33">
        <f t="shared" si="46"/>
        <v>89.0138888888889</v>
      </c>
      <c r="DB85" s="33">
        <f t="shared" si="47"/>
        <v>166.64498739316434</v>
      </c>
      <c r="DC85" s="33">
        <f t="shared" si="48"/>
        <v>77.631098504275442</v>
      </c>
      <c r="DD85" s="29">
        <v>2</v>
      </c>
      <c r="DF85" s="60">
        <v>3</v>
      </c>
      <c r="DG85" s="60">
        <f t="shared" si="49"/>
        <v>181.09722222222223</v>
      </c>
      <c r="DH85" s="60">
        <f t="shared" si="50"/>
        <v>291.56556524366698</v>
      </c>
      <c r="DI85" s="60">
        <f t="shared" si="51"/>
        <v>110.46834302144475</v>
      </c>
      <c r="DJ85" s="51">
        <v>2</v>
      </c>
      <c r="DL85" s="60">
        <v>3</v>
      </c>
      <c r="DM85" s="60">
        <f t="shared" si="52"/>
        <v>310.01388888888891</v>
      </c>
      <c r="DN85" s="60" t="e">
        <f t="shared" si="53"/>
        <v>#VALUE!</v>
      </c>
      <c r="DO85" s="60" t="e">
        <f t="shared" si="54"/>
        <v>#VALUE!</v>
      </c>
      <c r="DP85" s="51">
        <v>2</v>
      </c>
      <c r="EG85" s="29" t="s">
        <v>38</v>
      </c>
      <c r="EH85" s="29">
        <v>1</v>
      </c>
      <c r="EI85" s="29">
        <v>40.200000000000003</v>
      </c>
      <c r="EJ85" s="29">
        <v>27.8</v>
      </c>
      <c r="EK85" s="29">
        <v>21.7</v>
      </c>
      <c r="EL85" s="29">
        <v>13.8</v>
      </c>
      <c r="EM85" s="29">
        <v>10.5</v>
      </c>
      <c r="EN85" s="29">
        <v>8.6</v>
      </c>
      <c r="EO85" s="29">
        <v>5.3</v>
      </c>
      <c r="EP85" s="29">
        <v>3.2</v>
      </c>
      <c r="EQ85" s="29">
        <v>2</v>
      </c>
      <c r="FF85" s="29">
        <v>81</v>
      </c>
      <c r="FG85" s="29">
        <f t="shared" si="35"/>
        <v>5.0893800988154654</v>
      </c>
      <c r="FH85" s="29">
        <f>($P$20/2000)*SIN(FG85)+($P$20/2000)</f>
        <v>1.7555878527937191E-2</v>
      </c>
      <c r="FI85" s="29">
        <f>($P$20/2000)*COS(FG85)+$P$20/2000</f>
        <v>0.34203113817116959</v>
      </c>
      <c r="FL85" s="29">
        <f>IF($P$19="Hexagon",EU85,IF(OR($P$19="Kerbdrain150",$P$19="Kerbdrain280"),FA85,IF(OR($P$19="Channel100",$P$19="Channel150",$P$19="Channel200",$P$19="Channel430"),EW85,IF(AND($P$19="Oval",$CJ$11=0.15),FH85,IF(AND($P$19="Oval",$CJ$11=0.225),FH85,IF(AND($P$19="Oval",$CJ$11=0.35),FH85,IF(AND($P$19="Oval",$CJ$11=0.55),FH85,IF(AND($P$19="Oval",$CJ$11=0.7),FD85,IF(AND($P$19="Oval",$CJ$11=0.9),FD85,"")))))))))</f>
        <v>0</v>
      </c>
      <c r="FM85" s="29">
        <f>IF($P$19="Hexagon",EV85,IF(OR($P$19="Kerbdrain150",$P$19="Kerbdrain280"),FB85,IF(OR($P$19="Channel100",$P$19="Channel150",$P$19="Channel200",$P$19="Channel430"),EX85,IF(AND($P$19="Oval",$CJ$11=0.15),FI85,IF(AND($P$19="Oval",$CJ$11=0.225),FI85,IF(AND($P$19="Oval",$CJ$11=0.35),FI85,IF(AND($P$19="Oval",$CJ$11=0.55),FI85,IF(AND($P$19="Oval",$CJ$11=0.7),FE85,IF(AND($P$19="Oval",$CJ$11=0.9),FE85,"")))))))))</f>
        <v>0</v>
      </c>
      <c r="FP85" s="29">
        <f>IF(MAX(FL$5:FM$104)&lt;0.5,FL85*2,FL85)</f>
        <v>0</v>
      </c>
      <c r="FQ85" s="29">
        <f>IF(MAX(FL$5:FM$104)&lt;0.5,FM85*2,FM85)</f>
        <v>0</v>
      </c>
      <c r="FT85" s="29">
        <f>IF(AND(FP85=0,FQ85=0),FT84,FP85+(0.5*(1-MAX(FP$5:FP$104))))</f>
        <v>0.5</v>
      </c>
      <c r="FU85" s="29">
        <f>IF(AND(FP85=0,FQ85=0),FU84,FQ85+(0.5*(1-MAX(FQ$5:FQ$104))))</f>
        <v>0.21600000000000003</v>
      </c>
      <c r="GK85" s="51">
        <v>81</v>
      </c>
      <c r="GL85" s="51">
        <f t="shared" si="36"/>
        <v>5.0893800988154654</v>
      </c>
      <c r="GM85" s="51">
        <f>($M$66/2000)*SIN(GL85)+($M$66/2000)</f>
        <v>1.7555878527937191E-2</v>
      </c>
      <c r="GN85" s="51">
        <f>($M$66/2000)*COS(GL85)+$M$66/2000</f>
        <v>0.34203113817116959</v>
      </c>
      <c r="GQ85" s="51">
        <f>IF($M$65="Hexagon",FZ85,IF(OR($M$65="Kerbdrain150",$M$65="Kerbdrain280"),GF85,IF(OR($M$65="Channel100",$M$65="Channel150",$M$65="Channel200",$M$65="Channel430"),GB85,IF(AND($M$65="Oval",$CL$11=0.15),GM85,IF(AND($M$65="Oval",$CL$11=0.225),GM85,IF(AND($M$65="Oval",$CL$11=0.35),GM85,IF(AND($M$65="Oval",$CL$11=0.55),GM85,IF(AND($M$65="Oval",$CL$11=0.7),GI85,IF(AND($M$65="Oval",$CL$11=0.9),GI85,"")))))))))</f>
        <v>0</v>
      </c>
      <c r="GR85" s="51">
        <f>IF($M$65="Hexagon",GA85,IF(OR($M$65="Kerbdrain150",$M$65="Kerbdrain280"),GG85,IF(OR($M$65="Channel100",$M$65="Channel150",$M$65="Channel200",$M$65="Channel430"),GC85,IF(AND($M$65="Oval",$CL$11=0.15),GN85,IF(AND($M$65="Oval",$CL$11=0.225),GN85,IF(AND($M$65="Oval",$CL$11=0.35),GN85,IF(AND($M$65="Oval",$CL$11=0.55),GN85,IF(AND($M$65="Oval",$CL$11=0.7),GJ85,IF(AND($M$65="Oval",$CL$11=0.9),GJ85,"")))))))))</f>
        <v>0</v>
      </c>
      <c r="GU85" s="51">
        <f>IF(MAX(GQ$5:GR$104)&lt;0.5,GQ85*2,GQ85)</f>
        <v>0</v>
      </c>
      <c r="GV85" s="51">
        <f>IF(MAX(GQ$5:GR$104)&lt;0.5,GR85*2,GR85)</f>
        <v>0</v>
      </c>
      <c r="GY85" s="51">
        <f>IF(AND(GU85=0,GV85=0),GY84,GU85+(0.5*(1-MAX(GU$5:GU$104))))</f>
        <v>0.5</v>
      </c>
      <c r="GZ85" s="51">
        <f>IF(AND(GU85=0,GV85=0),GZ84,GV85+(0.5*(1-MAX(GV$5:GV$104))))</f>
        <v>0.21600000000000003</v>
      </c>
    </row>
    <row r="86" spans="2:208">
      <c r="B86" s="9"/>
      <c r="C86" s="10"/>
      <c r="D86" s="10"/>
      <c r="E86" s="10"/>
      <c r="F86" s="11"/>
      <c r="G86" s="70"/>
      <c r="H86" s="37"/>
      <c r="I86" s="37"/>
      <c r="J86" s="37"/>
      <c r="K86" s="37"/>
      <c r="L86" s="37"/>
      <c r="M86" s="37"/>
      <c r="N86" s="37"/>
      <c r="O86" s="37"/>
      <c r="P86" s="37"/>
      <c r="Q86" s="37"/>
      <c r="R86" s="37"/>
      <c r="S86" s="37"/>
      <c r="T86" s="37"/>
      <c r="U86" s="41"/>
      <c r="V86" s="41"/>
      <c r="W86" s="41"/>
      <c r="X86" s="41"/>
      <c r="Y86" s="41"/>
      <c r="Z86" s="41"/>
      <c r="AA86" s="41"/>
      <c r="AB86" s="41"/>
      <c r="AC86" s="41"/>
      <c r="AD86" s="41"/>
      <c r="AE86" s="67"/>
      <c r="AF86" s="42"/>
      <c r="AG86" s="41"/>
      <c r="AH86" s="41"/>
      <c r="AI86" s="41"/>
      <c r="AJ86" s="43"/>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33"/>
      <c r="CH86" s="33">
        <v>4</v>
      </c>
      <c r="CI86" s="33">
        <f t="shared" si="37"/>
        <v>12.277777777777779</v>
      </c>
      <c r="CJ86" s="33">
        <f t="shared" si="38"/>
        <v>14.428342754829226</v>
      </c>
      <c r="CK86" s="33">
        <f t="shared" si="39"/>
        <v>2.150564977051447</v>
      </c>
      <c r="CL86" s="29">
        <v>3</v>
      </c>
      <c r="CN86" s="33">
        <v>4</v>
      </c>
      <c r="CO86" s="33">
        <f t="shared" si="40"/>
        <v>24.555555555555557</v>
      </c>
      <c r="CP86" s="33">
        <f t="shared" si="41"/>
        <v>39.767971796763788</v>
      </c>
      <c r="CQ86" s="33">
        <f t="shared" si="42"/>
        <v>15.212416241208231</v>
      </c>
      <c r="CR86" s="29">
        <v>3</v>
      </c>
      <c r="CT86" s="33">
        <v>4</v>
      </c>
      <c r="CU86" s="33">
        <f t="shared" si="43"/>
        <v>52.180555555555557</v>
      </c>
      <c r="CV86" s="33">
        <f t="shared" si="44"/>
        <v>81.279429677995282</v>
      </c>
      <c r="CW86" s="33">
        <f t="shared" si="45"/>
        <v>29.098874122439724</v>
      </c>
      <c r="CX86" s="29">
        <v>3</v>
      </c>
      <c r="CZ86" s="33">
        <v>4</v>
      </c>
      <c r="DA86" s="33">
        <f t="shared" si="46"/>
        <v>92.083333333333343</v>
      </c>
      <c r="DB86" s="33">
        <f t="shared" si="47"/>
        <v>166.86336489929383</v>
      </c>
      <c r="DC86" s="33">
        <f t="shared" si="48"/>
        <v>74.780031565960485</v>
      </c>
      <c r="DD86" s="29">
        <v>3</v>
      </c>
      <c r="DF86" s="60">
        <v>4</v>
      </c>
      <c r="DG86" s="60">
        <f t="shared" si="49"/>
        <v>184.16666666666669</v>
      </c>
      <c r="DH86" s="60">
        <f t="shared" si="50"/>
        <v>291.86985743003765</v>
      </c>
      <c r="DI86" s="60">
        <f t="shared" si="51"/>
        <v>107.70319076337097</v>
      </c>
      <c r="DJ86" s="51">
        <v>3</v>
      </c>
      <c r="DL86" s="60">
        <v>4</v>
      </c>
      <c r="DM86" s="60">
        <f t="shared" si="52"/>
        <v>313.08333333333337</v>
      </c>
      <c r="DN86" s="60" t="e">
        <f t="shared" si="53"/>
        <v>#VALUE!</v>
      </c>
      <c r="DO86" s="60" t="e">
        <f t="shared" si="54"/>
        <v>#VALUE!</v>
      </c>
      <c r="DP86" s="51">
        <v>3</v>
      </c>
      <c r="EG86" s="29">
        <v>14</v>
      </c>
      <c r="EH86" s="29">
        <v>2</v>
      </c>
      <c r="EI86" s="29">
        <v>47.9</v>
      </c>
      <c r="EJ86" s="29">
        <v>34.5</v>
      </c>
      <c r="EK86" s="29">
        <v>27.5</v>
      </c>
      <c r="EL86" s="29">
        <v>17.8</v>
      </c>
      <c r="EM86" s="29">
        <v>13.5</v>
      </c>
      <c r="EN86" s="29">
        <v>11.1</v>
      </c>
      <c r="EO86" s="29">
        <v>6.8</v>
      </c>
      <c r="EP86" s="29">
        <v>4.0999999999999996</v>
      </c>
      <c r="EQ86" s="29">
        <v>2</v>
      </c>
      <c r="FF86" s="29">
        <v>82</v>
      </c>
      <c r="FG86" s="29">
        <f t="shared" si="35"/>
        <v>5.15221195188726</v>
      </c>
      <c r="FH86" s="29">
        <f>($P$20/2000)*SIN(FG86)+($P$20/2000)</f>
        <v>2.3793236883495023E-2</v>
      </c>
      <c r="FI86" s="29">
        <f>($P$20/2000)*COS(FG86)+$P$20/2000</f>
        <v>0.35644482289126794</v>
      </c>
      <c r="FL86" s="29">
        <f>IF($P$19="Hexagon",EU86,IF(OR($P$19="Kerbdrain150",$P$19="Kerbdrain280"),FA86,IF(OR($P$19="Channel100",$P$19="Channel150",$P$19="Channel200",$P$19="Channel430"),EW86,IF(AND($P$19="Oval",$CJ$11=0.15),FH86,IF(AND($P$19="Oval",$CJ$11=0.225),FH86,IF(AND($P$19="Oval",$CJ$11=0.35),FH86,IF(AND($P$19="Oval",$CJ$11=0.55),FH86,IF(AND($P$19="Oval",$CJ$11=0.7),FD86,IF(AND($P$19="Oval",$CJ$11=0.9),FD86,"")))))))))</f>
        <v>0</v>
      </c>
      <c r="FM86" s="29">
        <f>IF($P$19="Hexagon",EV86,IF(OR($P$19="Kerbdrain150",$P$19="Kerbdrain280"),FB86,IF(OR($P$19="Channel100",$P$19="Channel150",$P$19="Channel200",$P$19="Channel430"),EX86,IF(AND($P$19="Oval",$CJ$11=0.15),FI86,IF(AND($P$19="Oval",$CJ$11=0.225),FI86,IF(AND($P$19="Oval",$CJ$11=0.35),FI86,IF(AND($P$19="Oval",$CJ$11=0.55),FI86,IF(AND($P$19="Oval",$CJ$11=0.7),FE86,IF(AND($P$19="Oval",$CJ$11=0.9),FE86,"")))))))))</f>
        <v>0</v>
      </c>
      <c r="FP86" s="29">
        <f>IF(MAX(FL$5:FM$104)&lt;0.5,FL86*2,FL86)</f>
        <v>0</v>
      </c>
      <c r="FQ86" s="29">
        <f>IF(MAX(FL$5:FM$104)&lt;0.5,FM86*2,FM86)</f>
        <v>0</v>
      </c>
      <c r="FT86" s="29">
        <f>IF(AND(FP86=0,FQ86=0),FT85,FP86+(0.5*(1-MAX(FP$5:FP$104))))</f>
        <v>0.5</v>
      </c>
      <c r="FU86" s="29">
        <f>IF(AND(FP86=0,FQ86=0),FU85,FQ86+(0.5*(1-MAX(FQ$5:FQ$104))))</f>
        <v>0.21600000000000003</v>
      </c>
      <c r="GK86" s="51">
        <v>82</v>
      </c>
      <c r="GL86" s="51">
        <f t="shared" si="36"/>
        <v>5.15221195188726</v>
      </c>
      <c r="GM86" s="51">
        <f>($M$66/2000)*SIN(GL86)+($M$66/2000)</f>
        <v>2.3793236883495023E-2</v>
      </c>
      <c r="GN86" s="51">
        <f>($M$66/2000)*COS(GL86)+$M$66/2000</f>
        <v>0.35644482289126794</v>
      </c>
      <c r="GQ86" s="51">
        <f>IF($M$65="Hexagon",FZ86,IF(OR($M$65="Kerbdrain150",$M$65="Kerbdrain280"),GF86,IF(OR($M$65="Channel100",$M$65="Channel150",$M$65="Channel200",$M$65="Channel430"),GB86,IF(AND($M$65="Oval",$CL$11=0.15),GM86,IF(AND($M$65="Oval",$CL$11=0.225),GM86,IF(AND($M$65="Oval",$CL$11=0.35),GM86,IF(AND($M$65="Oval",$CL$11=0.55),GM86,IF(AND($M$65="Oval",$CL$11=0.7),GI86,IF(AND($M$65="Oval",$CL$11=0.9),GI86,"")))))))))</f>
        <v>0</v>
      </c>
      <c r="GR86" s="51">
        <f>IF($M$65="Hexagon",GA86,IF(OR($M$65="Kerbdrain150",$M$65="Kerbdrain280"),GG86,IF(OR($M$65="Channel100",$M$65="Channel150",$M$65="Channel200",$M$65="Channel430"),GC86,IF(AND($M$65="Oval",$CL$11=0.15),GN86,IF(AND($M$65="Oval",$CL$11=0.225),GN86,IF(AND($M$65="Oval",$CL$11=0.35),GN86,IF(AND($M$65="Oval",$CL$11=0.55),GN86,IF(AND($M$65="Oval",$CL$11=0.7),GJ86,IF(AND($M$65="Oval",$CL$11=0.9),GJ86,"")))))))))</f>
        <v>0</v>
      </c>
      <c r="GU86" s="51">
        <f>IF(MAX(GQ$5:GR$104)&lt;0.5,GQ86*2,GQ86)</f>
        <v>0</v>
      </c>
      <c r="GV86" s="51">
        <f>IF(MAX(GQ$5:GR$104)&lt;0.5,GR86*2,GR86)</f>
        <v>0</v>
      </c>
      <c r="GY86" s="51">
        <f>IF(AND(GU86=0,GV86=0),GY85,GU86+(0.5*(1-MAX(GU$5:GU$104))))</f>
        <v>0.5</v>
      </c>
      <c r="GZ86" s="51">
        <f>IF(AND(GU86=0,GV86=0),GZ85,GV86+(0.5*(1-MAX(GV$5:GV$104))))</f>
        <v>0.21600000000000003</v>
      </c>
    </row>
    <row r="87" spans="2:208">
      <c r="B87" s="9"/>
      <c r="C87" s="10"/>
      <c r="D87" s="10"/>
      <c r="E87" s="10"/>
      <c r="F87" s="11"/>
      <c r="G87" s="70"/>
      <c r="H87" s="37"/>
      <c r="I87" s="37"/>
      <c r="J87" s="37"/>
      <c r="K87" s="37"/>
      <c r="L87" s="37"/>
      <c r="M87" s="37"/>
      <c r="N87" s="37"/>
      <c r="O87" s="37"/>
      <c r="P87" s="37"/>
      <c r="Q87" s="37"/>
      <c r="R87" s="37"/>
      <c r="S87" s="37"/>
      <c r="T87" s="37"/>
      <c r="U87" s="41"/>
      <c r="V87" s="41"/>
      <c r="W87" s="41"/>
      <c r="X87" s="41"/>
      <c r="Y87" s="41"/>
      <c r="Z87" s="41"/>
      <c r="AA87" s="41"/>
      <c r="AB87" s="41"/>
      <c r="AC87" s="41"/>
      <c r="AD87" s="41"/>
      <c r="AE87" s="67"/>
      <c r="AF87" s="42"/>
      <c r="AG87" s="41"/>
      <c r="AH87" s="41"/>
      <c r="AI87" s="41"/>
      <c r="AJ87" s="43"/>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33"/>
      <c r="CH87" s="33">
        <v>5</v>
      </c>
      <c r="CI87" s="33">
        <f t="shared" si="37"/>
        <v>15.347222222222223</v>
      </c>
      <c r="CJ87" s="33">
        <f t="shared" si="38"/>
        <v>14.479298634167217</v>
      </c>
      <c r="CK87" s="33">
        <f t="shared" si="39"/>
        <v>0</v>
      </c>
      <c r="CL87" s="29">
        <v>4</v>
      </c>
      <c r="CN87" s="33">
        <v>5</v>
      </c>
      <c r="CO87" s="33">
        <f t="shared" si="40"/>
        <v>27.625</v>
      </c>
      <c r="CP87" s="33">
        <f t="shared" si="41"/>
        <v>39.860936401999922</v>
      </c>
      <c r="CQ87" s="33">
        <f t="shared" si="42"/>
        <v>12.235936401999922</v>
      </c>
      <c r="CR87" s="29">
        <v>4</v>
      </c>
      <c r="CT87" s="33">
        <v>5</v>
      </c>
      <c r="CU87" s="33">
        <f t="shared" si="43"/>
        <v>55.25</v>
      </c>
      <c r="CV87" s="33">
        <f t="shared" si="44"/>
        <v>81.421427985500046</v>
      </c>
      <c r="CW87" s="33">
        <f t="shared" si="45"/>
        <v>26.171427985500046</v>
      </c>
      <c r="CX87" s="29">
        <v>4</v>
      </c>
      <c r="CZ87" s="33">
        <v>5</v>
      </c>
      <c r="DA87" s="33">
        <f t="shared" si="46"/>
        <v>95.152777777777786</v>
      </c>
      <c r="DB87" s="33">
        <f t="shared" si="47"/>
        <v>167.08174240542328</v>
      </c>
      <c r="DC87" s="33">
        <f t="shared" si="48"/>
        <v>71.928964627645499</v>
      </c>
      <c r="DD87" s="29">
        <v>4</v>
      </c>
      <c r="DF87" s="60">
        <v>5</v>
      </c>
      <c r="DG87" s="60">
        <f t="shared" si="49"/>
        <v>187.23611111111111</v>
      </c>
      <c r="DH87" s="60">
        <f t="shared" si="50"/>
        <v>292.17414961640833</v>
      </c>
      <c r="DI87" s="60">
        <f t="shared" si="51"/>
        <v>104.93803850529721</v>
      </c>
      <c r="DJ87" s="51">
        <v>4</v>
      </c>
      <c r="DL87" s="60">
        <v>5</v>
      </c>
      <c r="DM87" s="60">
        <f t="shared" si="52"/>
        <v>316.15277777777777</v>
      </c>
      <c r="DN87" s="60" t="e">
        <f t="shared" si="53"/>
        <v>#VALUE!</v>
      </c>
      <c r="DO87" s="60" t="e">
        <f t="shared" si="54"/>
        <v>#VALUE!</v>
      </c>
      <c r="DP87" s="51">
        <v>4</v>
      </c>
      <c r="EC87" s="1">
        <v>0</v>
      </c>
      <c r="ED87" s="30" t="e">
        <f>#REF!</f>
        <v>#REF!</v>
      </c>
      <c r="EG87" s="29" t="s">
        <v>39</v>
      </c>
      <c r="EH87" s="29">
        <v>5</v>
      </c>
      <c r="EI87" s="29">
        <v>63.5</v>
      </c>
      <c r="EJ87" s="29">
        <v>45.5</v>
      </c>
      <c r="EK87" s="29">
        <v>36.1</v>
      </c>
      <c r="EL87" s="29">
        <v>23.2</v>
      </c>
      <c r="EM87" s="29">
        <v>17.600000000000001</v>
      </c>
      <c r="EN87" s="29">
        <v>14.3</v>
      </c>
      <c r="EO87" s="29">
        <v>8.6999999999999993</v>
      </c>
      <c r="EP87" s="29">
        <v>5.2</v>
      </c>
      <c r="EQ87" s="29">
        <v>3</v>
      </c>
      <c r="FF87" s="29">
        <v>83</v>
      </c>
      <c r="FG87" s="29">
        <f t="shared" si="35"/>
        <v>5.2150438049590564</v>
      </c>
      <c r="FH87" s="29">
        <f>($P$20/2000)*SIN(FG87)+($P$20/2000)</f>
        <v>3.0923329989034049E-2</v>
      </c>
      <c r="FI87" s="29">
        <f>($P$20/2000)*COS(FG87)+$P$20/2000</f>
        <v>0.37043841852542875</v>
      </c>
      <c r="FL87" s="29">
        <f>IF($P$19="Hexagon",EU87,IF(OR($P$19="Kerbdrain150",$P$19="Kerbdrain280"),FA87,IF(OR($P$19="Channel100",$P$19="Channel150",$P$19="Channel200",$P$19="Channel430"),EW87,IF(AND($P$19="Oval",$CJ$11=0.15),FH87,IF(AND($P$19="Oval",$CJ$11=0.225),FH87,IF(AND($P$19="Oval",$CJ$11=0.35),FH87,IF(AND($P$19="Oval",$CJ$11=0.55),FH87,IF(AND($P$19="Oval",$CJ$11=0.7),FD87,IF(AND($P$19="Oval",$CJ$11=0.9),FD87,"")))))))))</f>
        <v>0</v>
      </c>
      <c r="FM87" s="29">
        <f>IF($P$19="Hexagon",EV87,IF(OR($P$19="Kerbdrain150",$P$19="Kerbdrain280"),FB87,IF(OR($P$19="Channel100",$P$19="Channel150",$P$19="Channel200",$P$19="Channel430"),EX87,IF(AND($P$19="Oval",$CJ$11=0.15),FI87,IF(AND($P$19="Oval",$CJ$11=0.225),FI87,IF(AND($P$19="Oval",$CJ$11=0.35),FI87,IF(AND($P$19="Oval",$CJ$11=0.55),FI87,IF(AND($P$19="Oval",$CJ$11=0.7),FE87,IF(AND($P$19="Oval",$CJ$11=0.9),FE87,"")))))))))</f>
        <v>0</v>
      </c>
      <c r="FP87" s="29">
        <f>IF(MAX(FL$5:FM$104)&lt;0.5,FL87*2,FL87)</f>
        <v>0</v>
      </c>
      <c r="FQ87" s="29">
        <f>IF(MAX(FL$5:FM$104)&lt;0.5,FM87*2,FM87)</f>
        <v>0</v>
      </c>
      <c r="FT87" s="29">
        <f>IF(AND(FP87=0,FQ87=0),FT86,FP87+(0.5*(1-MAX(FP$5:FP$104))))</f>
        <v>0.5</v>
      </c>
      <c r="FU87" s="29">
        <f>IF(AND(FP87=0,FQ87=0),FU86,FQ87+(0.5*(1-MAX(FQ$5:FQ$104))))</f>
        <v>0.21600000000000003</v>
      </c>
      <c r="GK87" s="51">
        <v>83</v>
      </c>
      <c r="GL87" s="51">
        <f t="shared" si="36"/>
        <v>5.2150438049590564</v>
      </c>
      <c r="GM87" s="51">
        <f>($M$66/2000)*SIN(GL87)+($M$66/2000)</f>
        <v>3.0923329989034049E-2</v>
      </c>
      <c r="GN87" s="51">
        <f>($M$66/2000)*COS(GL87)+$M$66/2000</f>
        <v>0.37043841852542875</v>
      </c>
      <c r="GQ87" s="51">
        <f>IF($M$65="Hexagon",FZ87,IF(OR($M$65="Kerbdrain150",$M$65="Kerbdrain280"),GF87,IF(OR($M$65="Channel100",$M$65="Channel150",$M$65="Channel200",$M$65="Channel430"),GB87,IF(AND($M$65="Oval",$CL$11=0.15),GM87,IF(AND($M$65="Oval",$CL$11=0.225),GM87,IF(AND($M$65="Oval",$CL$11=0.35),GM87,IF(AND($M$65="Oval",$CL$11=0.55),GM87,IF(AND($M$65="Oval",$CL$11=0.7),GI87,IF(AND($M$65="Oval",$CL$11=0.9),GI87,"")))))))))</f>
        <v>0</v>
      </c>
      <c r="GR87" s="51">
        <f>IF($M$65="Hexagon",GA87,IF(OR($M$65="Kerbdrain150",$M$65="Kerbdrain280"),GG87,IF(OR($M$65="Channel100",$M$65="Channel150",$M$65="Channel200",$M$65="Channel430"),GC87,IF(AND($M$65="Oval",$CL$11=0.15),GN87,IF(AND($M$65="Oval",$CL$11=0.225),GN87,IF(AND($M$65="Oval",$CL$11=0.35),GN87,IF(AND($M$65="Oval",$CL$11=0.55),GN87,IF(AND($M$65="Oval",$CL$11=0.7),GJ87,IF(AND($M$65="Oval",$CL$11=0.9),GJ87,"")))))))))</f>
        <v>0</v>
      </c>
      <c r="GU87" s="51">
        <f>IF(MAX(GQ$5:GR$104)&lt;0.5,GQ87*2,GQ87)</f>
        <v>0</v>
      </c>
      <c r="GV87" s="51">
        <f>IF(MAX(GQ$5:GR$104)&lt;0.5,GR87*2,GR87)</f>
        <v>0</v>
      </c>
      <c r="GY87" s="51">
        <f>IF(AND(GU87=0,GV87=0),GY86,GU87+(0.5*(1-MAX(GU$5:GU$104))))</f>
        <v>0.5</v>
      </c>
      <c r="GZ87" s="51">
        <f>IF(AND(GU87=0,GV87=0),GZ86,GV87+(0.5*(1-MAX(GV$5:GV$104))))</f>
        <v>0.21600000000000003</v>
      </c>
    </row>
    <row r="88" spans="2:208">
      <c r="B88" s="9"/>
      <c r="C88" s="10"/>
      <c r="D88" s="10"/>
      <c r="E88" s="10"/>
      <c r="F88" s="11"/>
      <c r="G88" s="70"/>
      <c r="H88" s="37"/>
      <c r="I88" s="37"/>
      <c r="J88" s="37"/>
      <c r="K88" s="37"/>
      <c r="L88" s="37"/>
      <c r="M88" s="37"/>
      <c r="N88" s="37"/>
      <c r="O88" s="37"/>
      <c r="P88" s="37"/>
      <c r="Q88" s="37"/>
      <c r="R88" s="37"/>
      <c r="S88" s="37"/>
      <c r="T88" s="37"/>
      <c r="U88" s="41"/>
      <c r="V88" s="41"/>
      <c r="W88" s="41"/>
      <c r="X88" s="41"/>
      <c r="Y88" s="41"/>
      <c r="Z88" s="41"/>
      <c r="AA88" s="41"/>
      <c r="AB88" s="41"/>
      <c r="AC88" s="41"/>
      <c r="AD88" s="41"/>
      <c r="AE88" s="67"/>
      <c r="AF88" s="42"/>
      <c r="AG88" s="41"/>
      <c r="AH88" s="41"/>
      <c r="AI88" s="41"/>
      <c r="AJ88" s="43"/>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33"/>
      <c r="CH88" s="33">
        <v>6</v>
      </c>
      <c r="CI88" s="33">
        <f t="shared" si="37"/>
        <v>18.416666666666668</v>
      </c>
      <c r="CJ88" s="33">
        <f t="shared" si="38"/>
        <v>14.530254513505209</v>
      </c>
      <c r="CK88" s="33">
        <f t="shared" si="39"/>
        <v>0</v>
      </c>
      <c r="CL88" s="29">
        <v>5</v>
      </c>
      <c r="CN88" s="33">
        <v>6</v>
      </c>
      <c r="CO88" s="33">
        <f t="shared" si="40"/>
        <v>30.694444444444446</v>
      </c>
      <c r="CP88" s="33">
        <f t="shared" si="41"/>
        <v>39.953901007236055</v>
      </c>
      <c r="CQ88" s="33">
        <f t="shared" si="42"/>
        <v>9.259456562791609</v>
      </c>
      <c r="CR88" s="29">
        <v>5</v>
      </c>
      <c r="CT88" s="33">
        <v>6</v>
      </c>
      <c r="CU88" s="33">
        <f t="shared" si="43"/>
        <v>58.31944444444445</v>
      </c>
      <c r="CV88" s="33">
        <f t="shared" si="44"/>
        <v>81.56342629300481</v>
      </c>
      <c r="CW88" s="33">
        <f t="shared" si="45"/>
        <v>23.24398184856036</v>
      </c>
      <c r="CX88" s="29">
        <v>5</v>
      </c>
      <c r="CZ88" s="33">
        <v>6</v>
      </c>
      <c r="DA88" s="33">
        <f t="shared" si="46"/>
        <v>98.222222222222229</v>
      </c>
      <c r="DB88" s="33">
        <f t="shared" si="47"/>
        <v>167.30011991155274</v>
      </c>
      <c r="DC88" s="33">
        <f t="shared" si="48"/>
        <v>69.077897689330513</v>
      </c>
      <c r="DD88" s="29">
        <v>5</v>
      </c>
      <c r="DF88" s="60">
        <v>6</v>
      </c>
      <c r="DG88" s="60">
        <f t="shared" si="49"/>
        <v>190.30555555555557</v>
      </c>
      <c r="DH88" s="60">
        <f t="shared" si="50"/>
        <v>292.47844180277889</v>
      </c>
      <c r="DI88" s="60">
        <f t="shared" si="51"/>
        <v>102.17288624722332</v>
      </c>
      <c r="DJ88" s="51">
        <v>5</v>
      </c>
      <c r="DL88" s="60">
        <v>6</v>
      </c>
      <c r="DM88" s="60">
        <f t="shared" si="52"/>
        <v>319.22222222222223</v>
      </c>
      <c r="DN88" s="60" t="e">
        <f t="shared" si="53"/>
        <v>#VALUE!</v>
      </c>
      <c r="DO88" s="60" t="e">
        <f t="shared" si="54"/>
        <v>#VALUE!</v>
      </c>
      <c r="DP88" s="51">
        <v>5</v>
      </c>
      <c r="EC88" s="1" t="e">
        <f>VLOOKUP(ED87,EC62:ED71,2,FALSE)</f>
        <v>#REF!</v>
      </c>
      <c r="ED88" s="30" t="e">
        <f>ED87</f>
        <v>#REF!</v>
      </c>
      <c r="EG88" s="29">
        <v>0.4</v>
      </c>
      <c r="EH88" s="29">
        <v>10</v>
      </c>
      <c r="EI88" s="29">
        <v>72.400000000000006</v>
      </c>
      <c r="EJ88" s="29">
        <v>52.1</v>
      </c>
      <c r="EK88" s="29">
        <v>41.5</v>
      </c>
      <c r="EL88" s="29">
        <v>26.9</v>
      </c>
      <c r="EM88" s="29">
        <v>20.399999999999999</v>
      </c>
      <c r="EN88" s="29">
        <v>16.7</v>
      </c>
      <c r="EO88" s="29">
        <v>10.1</v>
      </c>
      <c r="EP88" s="29">
        <v>6.1</v>
      </c>
      <c r="EQ88" s="29">
        <v>4</v>
      </c>
      <c r="FF88" s="29">
        <v>84</v>
      </c>
      <c r="FG88" s="29">
        <f t="shared" si="35"/>
        <v>5.2778756580308519</v>
      </c>
      <c r="FH88" s="29">
        <f>($P$20/2000)*SIN(FG88)+($P$20/2000)</f>
        <v>3.891801862449612E-2</v>
      </c>
      <c r="FI88" s="29">
        <f>($P$20/2000)*COS(FG88)+$P$20/2000</f>
        <v>0.38395669874474903</v>
      </c>
      <c r="FL88" s="29">
        <f>IF($P$19="Hexagon",EU88,IF(OR($P$19="Kerbdrain150",$P$19="Kerbdrain280"),FA88,IF(OR($P$19="Channel100",$P$19="Channel150",$P$19="Channel200",$P$19="Channel430"),EW88,IF(AND($P$19="Oval",$CJ$11=0.15),FH88,IF(AND($P$19="Oval",$CJ$11=0.225),FH88,IF(AND($P$19="Oval",$CJ$11=0.35),FH88,IF(AND($P$19="Oval",$CJ$11=0.55),FH88,IF(AND($P$19="Oval",$CJ$11=0.7),FD88,IF(AND($P$19="Oval",$CJ$11=0.9),FD88,"")))))))))</f>
        <v>0</v>
      </c>
      <c r="FM88" s="29">
        <f>IF($P$19="Hexagon",EV88,IF(OR($P$19="Kerbdrain150",$P$19="Kerbdrain280"),FB88,IF(OR($P$19="Channel100",$P$19="Channel150",$P$19="Channel200",$P$19="Channel430"),EX88,IF(AND($P$19="Oval",$CJ$11=0.15),FI88,IF(AND($P$19="Oval",$CJ$11=0.225),FI88,IF(AND($P$19="Oval",$CJ$11=0.35),FI88,IF(AND($P$19="Oval",$CJ$11=0.55),FI88,IF(AND($P$19="Oval",$CJ$11=0.7),FE88,IF(AND($P$19="Oval",$CJ$11=0.9),FE88,"")))))))))</f>
        <v>0</v>
      </c>
      <c r="FP88" s="29">
        <f>IF(MAX(FL$5:FM$104)&lt;0.5,FL88*2,FL88)</f>
        <v>0</v>
      </c>
      <c r="FQ88" s="29">
        <f>IF(MAX(FL$5:FM$104)&lt;0.5,FM88*2,FM88)</f>
        <v>0</v>
      </c>
      <c r="FT88" s="29">
        <f>IF(AND(FP88=0,FQ88=0),FT87,FP88+(0.5*(1-MAX(FP$5:FP$104))))</f>
        <v>0.5</v>
      </c>
      <c r="FU88" s="29">
        <f>IF(AND(FP88=0,FQ88=0),FU87,FQ88+(0.5*(1-MAX(FQ$5:FQ$104))))</f>
        <v>0.21600000000000003</v>
      </c>
      <c r="GK88" s="51">
        <v>84</v>
      </c>
      <c r="GL88" s="51">
        <f t="shared" si="36"/>
        <v>5.2778756580308519</v>
      </c>
      <c r="GM88" s="51">
        <f>($M$66/2000)*SIN(GL88)+($M$66/2000)</f>
        <v>3.891801862449612E-2</v>
      </c>
      <c r="GN88" s="51">
        <f>($M$66/2000)*COS(GL88)+$M$66/2000</f>
        <v>0.38395669874474903</v>
      </c>
      <c r="GQ88" s="51">
        <f>IF($M$65="Hexagon",FZ88,IF(OR($M$65="Kerbdrain150",$M$65="Kerbdrain280"),GF88,IF(OR($M$65="Channel100",$M$65="Channel150",$M$65="Channel200",$M$65="Channel430"),GB88,IF(AND($M$65="Oval",$CL$11=0.15),GM88,IF(AND($M$65="Oval",$CL$11=0.225),GM88,IF(AND($M$65="Oval",$CL$11=0.35),GM88,IF(AND($M$65="Oval",$CL$11=0.55),GM88,IF(AND($M$65="Oval",$CL$11=0.7),GI88,IF(AND($M$65="Oval",$CL$11=0.9),GI88,"")))))))))</f>
        <v>0</v>
      </c>
      <c r="GR88" s="51">
        <f>IF($M$65="Hexagon",GA88,IF(OR($M$65="Kerbdrain150",$M$65="Kerbdrain280"),GG88,IF(OR($M$65="Channel100",$M$65="Channel150",$M$65="Channel200",$M$65="Channel430"),GC88,IF(AND($M$65="Oval",$CL$11=0.15),GN88,IF(AND($M$65="Oval",$CL$11=0.225),GN88,IF(AND($M$65="Oval",$CL$11=0.35),GN88,IF(AND($M$65="Oval",$CL$11=0.55),GN88,IF(AND($M$65="Oval",$CL$11=0.7),GJ88,IF(AND($M$65="Oval",$CL$11=0.9),GJ88,"")))))))))</f>
        <v>0</v>
      </c>
      <c r="GU88" s="51">
        <f>IF(MAX(GQ$5:GR$104)&lt;0.5,GQ88*2,GQ88)</f>
        <v>0</v>
      </c>
      <c r="GV88" s="51">
        <f>IF(MAX(GQ$5:GR$104)&lt;0.5,GR88*2,GR88)</f>
        <v>0</v>
      </c>
      <c r="GY88" s="51">
        <f>IF(AND(GU88=0,GV88=0),GY87,GU88+(0.5*(1-MAX(GU$5:GU$104))))</f>
        <v>0.5</v>
      </c>
      <c r="GZ88" s="51">
        <f>IF(AND(GU88=0,GV88=0),GZ87,GV88+(0.5*(1-MAX(GV$5:GV$104))))</f>
        <v>0.21600000000000003</v>
      </c>
    </row>
    <row r="89" spans="2:208">
      <c r="B89" s="9"/>
      <c r="C89" s="10"/>
      <c r="D89" s="10"/>
      <c r="E89" s="10"/>
      <c r="F89" s="11"/>
      <c r="G89" s="70"/>
      <c r="H89" s="37"/>
      <c r="I89" s="37"/>
      <c r="J89" s="37"/>
      <c r="K89" s="37"/>
      <c r="L89" s="37"/>
      <c r="M89" s="37"/>
      <c r="N89" s="37"/>
      <c r="O89" s="37"/>
      <c r="P89" s="37"/>
      <c r="Q89" s="37"/>
      <c r="R89" s="37"/>
      <c r="S89" s="37"/>
      <c r="T89" s="37"/>
      <c r="U89" s="41"/>
      <c r="V89" s="41"/>
      <c r="W89" s="41"/>
      <c r="X89" s="41"/>
      <c r="Y89" s="41"/>
      <c r="Z89" s="41"/>
      <c r="AA89" s="41"/>
      <c r="AB89" s="41"/>
      <c r="AC89" s="41"/>
      <c r="AD89" s="41"/>
      <c r="AE89" s="67"/>
      <c r="AF89" s="42"/>
      <c r="AG89" s="41"/>
      <c r="AH89" s="41"/>
      <c r="AI89" s="41"/>
      <c r="AJ89" s="43"/>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33"/>
      <c r="CH89" s="33">
        <v>7</v>
      </c>
      <c r="CI89" s="33">
        <f t="shared" si="37"/>
        <v>21.486111111111114</v>
      </c>
      <c r="CJ89" s="33">
        <f t="shared" si="38"/>
        <v>14.581210392843202</v>
      </c>
      <c r="CK89" s="33">
        <f t="shared" si="39"/>
        <v>0</v>
      </c>
      <c r="CL89" s="29">
        <v>6</v>
      </c>
      <c r="CN89" s="33">
        <v>7</v>
      </c>
      <c r="CO89" s="33">
        <f t="shared" si="40"/>
        <v>33.763888888888893</v>
      </c>
      <c r="CP89" s="33">
        <f t="shared" si="41"/>
        <v>40.046865612472189</v>
      </c>
      <c r="CQ89" s="33">
        <f t="shared" si="42"/>
        <v>6.2829767235832961</v>
      </c>
      <c r="CR89" s="29">
        <v>6</v>
      </c>
      <c r="CT89" s="33">
        <v>7</v>
      </c>
      <c r="CU89" s="33">
        <f t="shared" si="43"/>
        <v>61.388888888888893</v>
      </c>
      <c r="CV89" s="33">
        <f t="shared" si="44"/>
        <v>81.705424600509588</v>
      </c>
      <c r="CW89" s="33">
        <f t="shared" si="45"/>
        <v>20.316535711620695</v>
      </c>
      <c r="CX89" s="29">
        <v>6</v>
      </c>
      <c r="CZ89" s="33">
        <v>7</v>
      </c>
      <c r="DA89" s="33">
        <f t="shared" si="46"/>
        <v>101.29166666666667</v>
      </c>
      <c r="DB89" s="33">
        <f t="shared" si="47"/>
        <v>167.5184974176822</v>
      </c>
      <c r="DC89" s="33">
        <f t="shared" si="48"/>
        <v>66.226830751015527</v>
      </c>
      <c r="DD89" s="29">
        <v>6</v>
      </c>
      <c r="DF89" s="60">
        <v>7</v>
      </c>
      <c r="DG89" s="60">
        <f t="shared" si="49"/>
        <v>193.375</v>
      </c>
      <c r="DH89" s="60">
        <f t="shared" si="50"/>
        <v>292.78273398914956</v>
      </c>
      <c r="DI89" s="60">
        <f t="shared" si="51"/>
        <v>99.407733989149563</v>
      </c>
      <c r="DJ89" s="51">
        <v>6</v>
      </c>
      <c r="DL89" s="60">
        <v>7</v>
      </c>
      <c r="DM89" s="60">
        <f t="shared" si="52"/>
        <v>322.29166666666669</v>
      </c>
      <c r="DN89" s="60" t="e">
        <f t="shared" si="53"/>
        <v>#VALUE!</v>
      </c>
      <c r="DO89" s="60" t="e">
        <f t="shared" si="54"/>
        <v>#VALUE!</v>
      </c>
      <c r="DP89" s="51">
        <v>6</v>
      </c>
      <c r="EG89" s="29"/>
      <c r="EH89" s="29">
        <v>15</v>
      </c>
      <c r="EI89" s="29">
        <v>78.099999999999994</v>
      </c>
      <c r="EJ89" s="29">
        <v>56.4</v>
      </c>
      <c r="EK89" s="29">
        <v>45.1</v>
      </c>
      <c r="EL89" s="29">
        <v>29.3</v>
      </c>
      <c r="EM89" s="29">
        <v>22.3</v>
      </c>
      <c r="EN89" s="29">
        <v>18.3</v>
      </c>
      <c r="EO89" s="29">
        <v>11.1</v>
      </c>
      <c r="EP89" s="29">
        <v>6.7</v>
      </c>
      <c r="EQ89" s="29">
        <v>4</v>
      </c>
      <c r="FF89" s="29">
        <v>85</v>
      </c>
      <c r="FG89" s="29">
        <f t="shared" si="35"/>
        <v>5.3407075111026483</v>
      </c>
      <c r="FH89" s="29">
        <f>($P$20/2000)*SIN(FG89)+($P$20/2000)</f>
        <v>4.7745751406263109E-2</v>
      </c>
      <c r="FI89" s="29">
        <f>($P$20/2000)*COS(FG89)+$P$20/2000</f>
        <v>0.39694631307311823</v>
      </c>
      <c r="FL89" s="29">
        <f>IF($P$19="Hexagon",EU89,IF(OR($P$19="Kerbdrain150",$P$19="Kerbdrain280"),FA89,IF(OR($P$19="Channel100",$P$19="Channel150",$P$19="Channel200",$P$19="Channel430"),EW89,IF(AND($P$19="Oval",$CJ$11=0.15),FH89,IF(AND($P$19="Oval",$CJ$11=0.225),FH89,IF(AND($P$19="Oval",$CJ$11=0.35),FH89,IF(AND($P$19="Oval",$CJ$11=0.55),FH89,IF(AND($P$19="Oval",$CJ$11=0.7),FD89,IF(AND($P$19="Oval",$CJ$11=0.9),FD89,"")))))))))</f>
        <v>0</v>
      </c>
      <c r="FM89" s="29">
        <f>IF($P$19="Hexagon",EV89,IF(OR($P$19="Kerbdrain150",$P$19="Kerbdrain280"),FB89,IF(OR($P$19="Channel100",$P$19="Channel150",$P$19="Channel200",$P$19="Channel430"),EX89,IF(AND($P$19="Oval",$CJ$11=0.15),FI89,IF(AND($P$19="Oval",$CJ$11=0.225),FI89,IF(AND($P$19="Oval",$CJ$11=0.35),FI89,IF(AND($P$19="Oval",$CJ$11=0.55),FI89,IF(AND($P$19="Oval",$CJ$11=0.7),FE89,IF(AND($P$19="Oval",$CJ$11=0.9),FE89,"")))))))))</f>
        <v>0</v>
      </c>
      <c r="FP89" s="29">
        <f>IF(MAX(FL$5:FM$104)&lt;0.5,FL89*2,FL89)</f>
        <v>0</v>
      </c>
      <c r="FQ89" s="29">
        <f>IF(MAX(FL$5:FM$104)&lt;0.5,FM89*2,FM89)</f>
        <v>0</v>
      </c>
      <c r="FT89" s="29">
        <f>IF(AND(FP89=0,FQ89=0),FT88,FP89+(0.5*(1-MAX(FP$5:FP$104))))</f>
        <v>0.5</v>
      </c>
      <c r="FU89" s="29">
        <f>IF(AND(FP89=0,FQ89=0),FU88,FQ89+(0.5*(1-MAX(FQ$5:FQ$104))))</f>
        <v>0.21600000000000003</v>
      </c>
      <c r="GK89" s="51">
        <v>85</v>
      </c>
      <c r="GL89" s="51">
        <f t="shared" si="36"/>
        <v>5.3407075111026483</v>
      </c>
      <c r="GM89" s="51">
        <f>($M$66/2000)*SIN(GL89)+($M$66/2000)</f>
        <v>4.7745751406263109E-2</v>
      </c>
      <c r="GN89" s="51">
        <f>($M$66/2000)*COS(GL89)+$M$66/2000</f>
        <v>0.39694631307311823</v>
      </c>
      <c r="GQ89" s="51">
        <f>IF($M$65="Hexagon",FZ89,IF(OR($M$65="Kerbdrain150",$M$65="Kerbdrain280"),GF89,IF(OR($M$65="Channel100",$M$65="Channel150",$M$65="Channel200",$M$65="Channel430"),GB89,IF(AND($M$65="Oval",$CL$11=0.15),GM89,IF(AND($M$65="Oval",$CL$11=0.225),GM89,IF(AND($M$65="Oval",$CL$11=0.35),GM89,IF(AND($M$65="Oval",$CL$11=0.55),GM89,IF(AND($M$65="Oval",$CL$11=0.7),GI89,IF(AND($M$65="Oval",$CL$11=0.9),GI89,"")))))))))</f>
        <v>0</v>
      </c>
      <c r="GR89" s="51">
        <f>IF($M$65="Hexagon",GA89,IF(OR($M$65="Kerbdrain150",$M$65="Kerbdrain280"),GG89,IF(OR($M$65="Channel100",$M$65="Channel150",$M$65="Channel200",$M$65="Channel430"),GC89,IF(AND($M$65="Oval",$CL$11=0.15),GN89,IF(AND($M$65="Oval",$CL$11=0.225),GN89,IF(AND($M$65="Oval",$CL$11=0.35),GN89,IF(AND($M$65="Oval",$CL$11=0.55),GN89,IF(AND($M$65="Oval",$CL$11=0.7),GJ89,IF(AND($M$65="Oval",$CL$11=0.9),GJ89,"")))))))))</f>
        <v>0</v>
      </c>
      <c r="GU89" s="51">
        <f>IF(MAX(GQ$5:GR$104)&lt;0.5,GQ89*2,GQ89)</f>
        <v>0</v>
      </c>
      <c r="GV89" s="51">
        <f>IF(MAX(GQ$5:GR$104)&lt;0.5,GR89*2,GR89)</f>
        <v>0</v>
      </c>
      <c r="GY89" s="51">
        <f>IF(AND(GU89=0,GV89=0),GY88,GU89+(0.5*(1-MAX(GU$5:GU$104))))</f>
        <v>0.5</v>
      </c>
      <c r="GZ89" s="51">
        <f>IF(AND(GU89=0,GV89=0),GZ88,GV89+(0.5*(1-MAX(GV$5:GV$104))))</f>
        <v>0.21600000000000003</v>
      </c>
    </row>
    <row r="90" spans="2:208">
      <c r="B90" s="9"/>
      <c r="C90" s="10"/>
      <c r="D90" s="10"/>
      <c r="E90" s="10"/>
      <c r="F90" s="11"/>
      <c r="G90" s="70"/>
      <c r="H90" s="37"/>
      <c r="I90" s="37"/>
      <c r="J90" s="37"/>
      <c r="K90" s="37"/>
      <c r="L90" s="37"/>
      <c r="M90" s="37"/>
      <c r="N90" s="37"/>
      <c r="O90" s="37"/>
      <c r="P90" s="37"/>
      <c r="Q90" s="37"/>
      <c r="R90" s="37"/>
      <c r="S90" s="37"/>
      <c r="T90" s="37"/>
      <c r="U90" s="41"/>
      <c r="V90" s="41"/>
      <c r="W90" s="41"/>
      <c r="X90" s="41"/>
      <c r="Y90" s="41"/>
      <c r="Z90" s="41"/>
      <c r="AA90" s="41"/>
      <c r="AB90" s="41"/>
      <c r="AC90" s="41"/>
      <c r="AD90" s="41"/>
      <c r="AE90" s="67"/>
      <c r="AF90" s="42"/>
      <c r="AG90" s="41"/>
      <c r="AH90" s="41"/>
      <c r="AI90" s="41"/>
      <c r="AJ90" s="43"/>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33"/>
      <c r="CH90" s="33">
        <v>8</v>
      </c>
      <c r="CI90" s="33">
        <f t="shared" si="37"/>
        <v>24.555555555555557</v>
      </c>
      <c r="CJ90" s="33">
        <f t="shared" si="38"/>
        <v>14.632166272181195</v>
      </c>
      <c r="CK90" s="33">
        <f t="shared" si="39"/>
        <v>0</v>
      </c>
      <c r="CL90" s="29">
        <v>7</v>
      </c>
      <c r="CN90" s="33">
        <v>8</v>
      </c>
      <c r="CO90" s="33">
        <f t="shared" si="40"/>
        <v>36.833333333333336</v>
      </c>
      <c r="CP90" s="33">
        <f t="shared" si="41"/>
        <v>40.139830217708322</v>
      </c>
      <c r="CQ90" s="33">
        <f t="shared" si="42"/>
        <v>3.3064968843749867</v>
      </c>
      <c r="CR90" s="29">
        <v>7</v>
      </c>
      <c r="CT90" s="33">
        <v>8</v>
      </c>
      <c r="CU90" s="33">
        <f t="shared" si="43"/>
        <v>64.458333333333343</v>
      </c>
      <c r="CV90" s="33">
        <f t="shared" si="44"/>
        <v>81.847422908014352</v>
      </c>
      <c r="CW90" s="33">
        <f t="shared" si="45"/>
        <v>17.389089574681009</v>
      </c>
      <c r="CX90" s="29">
        <v>7</v>
      </c>
      <c r="CZ90" s="33">
        <v>8</v>
      </c>
      <c r="DA90" s="33">
        <f t="shared" si="46"/>
        <v>104.36111111111111</v>
      </c>
      <c r="DB90" s="33">
        <f t="shared" si="47"/>
        <v>167.73687492381165</v>
      </c>
      <c r="DC90" s="33">
        <f t="shared" si="48"/>
        <v>63.375763812700541</v>
      </c>
      <c r="DD90" s="29">
        <v>7</v>
      </c>
      <c r="DF90" s="60">
        <v>8</v>
      </c>
      <c r="DG90" s="60">
        <f t="shared" si="49"/>
        <v>196.44444444444446</v>
      </c>
      <c r="DH90" s="60">
        <f t="shared" si="50"/>
        <v>293.08702617552018</v>
      </c>
      <c r="DI90" s="60">
        <f t="shared" si="51"/>
        <v>96.642581731075722</v>
      </c>
      <c r="DJ90" s="51">
        <v>7</v>
      </c>
      <c r="DL90" s="60">
        <v>8</v>
      </c>
      <c r="DM90" s="60">
        <f t="shared" si="52"/>
        <v>325.36111111111114</v>
      </c>
      <c r="DN90" s="60" t="e">
        <f t="shared" si="53"/>
        <v>#VALUE!</v>
      </c>
      <c r="DO90" s="60" t="e">
        <f t="shared" si="54"/>
        <v>#VALUE!</v>
      </c>
      <c r="DP90" s="51">
        <v>7</v>
      </c>
      <c r="EG90" s="29"/>
      <c r="EH90" s="29">
        <v>20</v>
      </c>
      <c r="EI90" s="29">
        <v>82.4</v>
      </c>
      <c r="EJ90" s="29">
        <v>59.7</v>
      </c>
      <c r="EK90" s="29">
        <v>47.8</v>
      </c>
      <c r="EL90" s="29">
        <v>31.2</v>
      </c>
      <c r="EM90" s="29">
        <v>23.7</v>
      </c>
      <c r="EN90" s="29">
        <v>19.399999999999999</v>
      </c>
      <c r="EO90" s="29">
        <v>11.8</v>
      </c>
      <c r="EP90" s="29">
        <v>7.1</v>
      </c>
      <c r="EQ90" s="29">
        <v>5</v>
      </c>
      <c r="FF90" s="29">
        <v>86</v>
      </c>
      <c r="FG90" s="29">
        <f t="shared" si="35"/>
        <v>5.4035393641744438</v>
      </c>
      <c r="FH90" s="29">
        <f>($P$20/2000)*SIN(FG90)+($P$20/2000)</f>
        <v>5.7371689306052603E-2</v>
      </c>
      <c r="FI90" s="29">
        <f>($P$20/2000)*COS(FG90)+$P$20/2000</f>
        <v>0.40935599743717233</v>
      </c>
      <c r="FL90" s="29">
        <f>IF($P$19="Hexagon",EU90,IF(OR($P$19="Kerbdrain150",$P$19="Kerbdrain280"),FA90,IF(OR($P$19="Channel100",$P$19="Channel150",$P$19="Channel200",$P$19="Channel430"),EW90,IF(AND($P$19="Oval",$CJ$11=0.15),FH90,IF(AND($P$19="Oval",$CJ$11=0.225),FH90,IF(AND($P$19="Oval",$CJ$11=0.35),FH90,IF(AND($P$19="Oval",$CJ$11=0.55),FH90,IF(AND($P$19="Oval",$CJ$11=0.7),FD90,IF(AND($P$19="Oval",$CJ$11=0.9),FD90,"")))))))))</f>
        <v>0</v>
      </c>
      <c r="FM90" s="29">
        <f>IF($P$19="Hexagon",EV90,IF(OR($P$19="Kerbdrain150",$P$19="Kerbdrain280"),FB90,IF(OR($P$19="Channel100",$P$19="Channel150",$P$19="Channel200",$P$19="Channel430"),EX90,IF(AND($P$19="Oval",$CJ$11=0.15),FI90,IF(AND($P$19="Oval",$CJ$11=0.225),FI90,IF(AND($P$19="Oval",$CJ$11=0.35),FI90,IF(AND($P$19="Oval",$CJ$11=0.55),FI90,IF(AND($P$19="Oval",$CJ$11=0.7),FE90,IF(AND($P$19="Oval",$CJ$11=0.9),FE90,"")))))))))</f>
        <v>0</v>
      </c>
      <c r="FP90" s="29">
        <f>IF(MAX(FL$5:FM$104)&lt;0.5,FL90*2,FL90)</f>
        <v>0</v>
      </c>
      <c r="FQ90" s="29">
        <f>IF(MAX(FL$5:FM$104)&lt;0.5,FM90*2,FM90)</f>
        <v>0</v>
      </c>
      <c r="FT90" s="29">
        <f>IF(AND(FP90=0,FQ90=0),FT89,FP90+(0.5*(1-MAX(FP$5:FP$104))))</f>
        <v>0.5</v>
      </c>
      <c r="FU90" s="29">
        <f>IF(AND(FP90=0,FQ90=0),FU89,FQ90+(0.5*(1-MAX(FQ$5:FQ$104))))</f>
        <v>0.21600000000000003</v>
      </c>
      <c r="GK90" s="51">
        <v>86</v>
      </c>
      <c r="GL90" s="51">
        <f t="shared" si="36"/>
        <v>5.4035393641744438</v>
      </c>
      <c r="GM90" s="51">
        <f>($M$66/2000)*SIN(GL90)+($M$66/2000)</f>
        <v>5.7371689306052603E-2</v>
      </c>
      <c r="GN90" s="51">
        <f>($M$66/2000)*COS(GL90)+$M$66/2000</f>
        <v>0.40935599743717233</v>
      </c>
      <c r="GQ90" s="51">
        <f>IF($M$65="Hexagon",FZ90,IF(OR($M$65="Kerbdrain150",$M$65="Kerbdrain280"),GF90,IF(OR($M$65="Channel100",$M$65="Channel150",$M$65="Channel200",$M$65="Channel430"),GB90,IF(AND($M$65="Oval",$CL$11=0.15),GM90,IF(AND($M$65="Oval",$CL$11=0.225),GM90,IF(AND($M$65="Oval",$CL$11=0.35),GM90,IF(AND($M$65="Oval",$CL$11=0.55),GM90,IF(AND($M$65="Oval",$CL$11=0.7),GI90,IF(AND($M$65="Oval",$CL$11=0.9),GI90,"")))))))))</f>
        <v>0</v>
      </c>
      <c r="GR90" s="51">
        <f>IF($M$65="Hexagon",GA90,IF(OR($M$65="Kerbdrain150",$M$65="Kerbdrain280"),GG90,IF(OR($M$65="Channel100",$M$65="Channel150",$M$65="Channel200",$M$65="Channel430"),GC90,IF(AND($M$65="Oval",$CL$11=0.15),GN90,IF(AND($M$65="Oval",$CL$11=0.225),GN90,IF(AND($M$65="Oval",$CL$11=0.35),GN90,IF(AND($M$65="Oval",$CL$11=0.55),GN90,IF(AND($M$65="Oval",$CL$11=0.7),GJ90,IF(AND($M$65="Oval",$CL$11=0.9),GJ90,"")))))))))</f>
        <v>0</v>
      </c>
      <c r="GU90" s="51">
        <f>IF(MAX(GQ$5:GR$104)&lt;0.5,GQ90*2,GQ90)</f>
        <v>0</v>
      </c>
      <c r="GV90" s="51">
        <f>IF(MAX(GQ$5:GR$104)&lt;0.5,GR90*2,GR90)</f>
        <v>0</v>
      </c>
      <c r="GY90" s="51">
        <f>IF(AND(GU90=0,GV90=0),GY89,GU90+(0.5*(1-MAX(GU$5:GU$104))))</f>
        <v>0.5</v>
      </c>
      <c r="GZ90" s="51">
        <f>IF(AND(GU90=0,GV90=0),GZ89,GV90+(0.5*(1-MAX(GV$5:GV$104))))</f>
        <v>0.21600000000000003</v>
      </c>
    </row>
    <row r="91" spans="2:208">
      <c r="B91" s="9"/>
      <c r="C91" s="10"/>
      <c r="D91" s="10"/>
      <c r="E91" s="10"/>
      <c r="F91" s="11"/>
      <c r="G91" s="70"/>
      <c r="H91" s="37"/>
      <c r="I91" s="37"/>
      <c r="J91" s="37"/>
      <c r="K91" s="37"/>
      <c r="L91" s="37"/>
      <c r="M91" s="37"/>
      <c r="N91" s="37"/>
      <c r="O91" s="37"/>
      <c r="P91" s="37"/>
      <c r="Q91" s="37"/>
      <c r="R91" s="37"/>
      <c r="S91" s="37"/>
      <c r="T91" s="37"/>
      <c r="U91" s="41"/>
      <c r="V91" s="41"/>
      <c r="W91" s="41"/>
      <c r="X91" s="41"/>
      <c r="Y91" s="41"/>
      <c r="Z91" s="41"/>
      <c r="AA91" s="41"/>
      <c r="AB91" s="41"/>
      <c r="AC91" s="41"/>
      <c r="AD91" s="41"/>
      <c r="AE91" s="67"/>
      <c r="AF91" s="42"/>
      <c r="AG91" s="41"/>
      <c r="AH91" s="41"/>
      <c r="AI91" s="41"/>
      <c r="AJ91" s="43"/>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33"/>
      <c r="CH91" s="33">
        <v>9</v>
      </c>
      <c r="CI91" s="33">
        <f t="shared" si="37"/>
        <v>27.625</v>
      </c>
      <c r="CJ91" s="33">
        <f t="shared" si="38"/>
        <v>14.683122151519187</v>
      </c>
      <c r="CK91" s="33">
        <f t="shared" si="39"/>
        <v>0</v>
      </c>
      <c r="CL91" s="29">
        <v>8</v>
      </c>
      <c r="CN91" s="33">
        <v>9</v>
      </c>
      <c r="CO91" s="33">
        <f t="shared" si="40"/>
        <v>39.902777777777779</v>
      </c>
      <c r="CP91" s="33">
        <f t="shared" si="41"/>
        <v>40.232794822944456</v>
      </c>
      <c r="CQ91" s="33">
        <f t="shared" si="42"/>
        <v>0.33001704516667729</v>
      </c>
      <c r="CR91" s="29">
        <v>8</v>
      </c>
      <c r="CT91" s="33">
        <v>9</v>
      </c>
      <c r="CU91" s="33">
        <f t="shared" si="43"/>
        <v>67.527777777777786</v>
      </c>
      <c r="CV91" s="33">
        <f t="shared" si="44"/>
        <v>81.98942121551913</v>
      </c>
      <c r="CW91" s="33">
        <f t="shared" si="45"/>
        <v>14.461643437741344</v>
      </c>
      <c r="CX91" s="29">
        <v>8</v>
      </c>
      <c r="CZ91" s="33">
        <v>9</v>
      </c>
      <c r="DA91" s="33">
        <f t="shared" si="46"/>
        <v>107.43055555555556</v>
      </c>
      <c r="DB91" s="33">
        <f t="shared" si="47"/>
        <v>167.95525242994111</v>
      </c>
      <c r="DC91" s="33">
        <f t="shared" si="48"/>
        <v>60.524696874385555</v>
      </c>
      <c r="DD91" s="29">
        <v>8</v>
      </c>
      <c r="DF91" s="60">
        <v>9</v>
      </c>
      <c r="DG91" s="60">
        <f t="shared" si="49"/>
        <v>199.51388888888891</v>
      </c>
      <c r="DH91" s="60">
        <f t="shared" si="50"/>
        <v>293.3913183618908</v>
      </c>
      <c r="DI91" s="60">
        <f t="shared" si="51"/>
        <v>93.877429473001882</v>
      </c>
      <c r="DJ91" s="51">
        <v>8</v>
      </c>
      <c r="DL91" s="60">
        <v>9</v>
      </c>
      <c r="DM91" s="60">
        <f t="shared" si="52"/>
        <v>328.4305555555556</v>
      </c>
      <c r="DN91" s="60" t="e">
        <f t="shared" si="53"/>
        <v>#VALUE!</v>
      </c>
      <c r="DO91" s="60" t="e">
        <f t="shared" si="54"/>
        <v>#VALUE!</v>
      </c>
      <c r="DP91" s="51">
        <v>8</v>
      </c>
      <c r="EG91" s="29"/>
      <c r="EH91" s="29">
        <v>25</v>
      </c>
      <c r="EI91" s="29">
        <v>85.9</v>
      </c>
      <c r="EJ91" s="29">
        <v>62.4</v>
      </c>
      <c r="EK91" s="29">
        <v>50</v>
      </c>
      <c r="EL91" s="29">
        <v>32.700000000000003</v>
      </c>
      <c r="EM91" s="29">
        <v>24.9</v>
      </c>
      <c r="EN91" s="29">
        <v>20.399999999999999</v>
      </c>
      <c r="EO91" s="29">
        <v>12.5</v>
      </c>
      <c r="EP91" s="29">
        <v>7.5</v>
      </c>
      <c r="EQ91" s="29">
        <v>5</v>
      </c>
      <c r="FF91" s="29">
        <v>87</v>
      </c>
      <c r="FG91" s="29">
        <f t="shared" si="35"/>
        <v>5.4663712172462402</v>
      </c>
      <c r="FH91" s="29">
        <f>($P$20/2000)*SIN(FG91)+($P$20/2000)</f>
        <v>6.7757843144647112E-2</v>
      </c>
      <c r="FI91" s="29">
        <f>($P$20/2000)*COS(FG91)+$P$20/2000</f>
        <v>0.42113677648217218</v>
      </c>
      <c r="FL91" s="29">
        <f>IF($P$19="Hexagon",EU91,IF(OR($P$19="Kerbdrain150",$P$19="Kerbdrain280"),FA91,IF(OR($P$19="Channel100",$P$19="Channel150",$P$19="Channel200",$P$19="Channel430"),EW91,IF(AND($P$19="Oval",$CJ$11=0.15),FH91,IF(AND($P$19="Oval",$CJ$11=0.225),FH91,IF(AND($P$19="Oval",$CJ$11=0.35),FH91,IF(AND($P$19="Oval",$CJ$11=0.55),FH91,IF(AND($P$19="Oval",$CJ$11=0.7),FD91,IF(AND($P$19="Oval",$CJ$11=0.9),FD91,"")))))))))</f>
        <v>0</v>
      </c>
      <c r="FM91" s="29">
        <f>IF($P$19="Hexagon",EV91,IF(OR($P$19="Kerbdrain150",$P$19="Kerbdrain280"),FB91,IF(OR($P$19="Channel100",$P$19="Channel150",$P$19="Channel200",$P$19="Channel430"),EX91,IF(AND($P$19="Oval",$CJ$11=0.15),FI91,IF(AND($P$19="Oval",$CJ$11=0.225),FI91,IF(AND($P$19="Oval",$CJ$11=0.35),FI91,IF(AND($P$19="Oval",$CJ$11=0.55),FI91,IF(AND($P$19="Oval",$CJ$11=0.7),FE91,IF(AND($P$19="Oval",$CJ$11=0.9),FE91,"")))))))))</f>
        <v>0</v>
      </c>
      <c r="FP91" s="29">
        <f>IF(MAX(FL$5:FM$104)&lt;0.5,FL91*2,FL91)</f>
        <v>0</v>
      </c>
      <c r="FQ91" s="29">
        <f>IF(MAX(FL$5:FM$104)&lt;0.5,FM91*2,FM91)</f>
        <v>0</v>
      </c>
      <c r="FT91" s="29">
        <f>IF(AND(FP91=0,FQ91=0),FT90,FP91+(0.5*(1-MAX(FP$5:FP$104))))</f>
        <v>0.5</v>
      </c>
      <c r="FU91" s="29">
        <f>IF(AND(FP91=0,FQ91=0),FU90,FQ91+(0.5*(1-MAX(FQ$5:FQ$104))))</f>
        <v>0.21600000000000003</v>
      </c>
      <c r="GK91" s="51">
        <v>87</v>
      </c>
      <c r="GL91" s="51">
        <f t="shared" si="36"/>
        <v>5.4663712172462402</v>
      </c>
      <c r="GM91" s="51">
        <f>($M$66/2000)*SIN(GL91)+($M$66/2000)</f>
        <v>6.7757843144647112E-2</v>
      </c>
      <c r="GN91" s="51">
        <f>($M$66/2000)*COS(GL91)+$M$66/2000</f>
        <v>0.42113677648217218</v>
      </c>
      <c r="GQ91" s="51">
        <f>IF($M$65="Hexagon",FZ91,IF(OR($M$65="Kerbdrain150",$M$65="Kerbdrain280"),GF91,IF(OR($M$65="Channel100",$M$65="Channel150",$M$65="Channel200",$M$65="Channel430"),GB91,IF(AND($M$65="Oval",$CL$11=0.15),GM91,IF(AND($M$65="Oval",$CL$11=0.225),GM91,IF(AND($M$65="Oval",$CL$11=0.35),GM91,IF(AND($M$65="Oval",$CL$11=0.55),GM91,IF(AND($M$65="Oval",$CL$11=0.7),GI91,IF(AND($M$65="Oval",$CL$11=0.9),GI91,"")))))))))</f>
        <v>0</v>
      </c>
      <c r="GR91" s="51">
        <f>IF($M$65="Hexagon",GA91,IF(OR($M$65="Kerbdrain150",$M$65="Kerbdrain280"),GG91,IF(OR($M$65="Channel100",$M$65="Channel150",$M$65="Channel200",$M$65="Channel430"),GC91,IF(AND($M$65="Oval",$CL$11=0.15),GN91,IF(AND($M$65="Oval",$CL$11=0.225),GN91,IF(AND($M$65="Oval",$CL$11=0.35),GN91,IF(AND($M$65="Oval",$CL$11=0.55),GN91,IF(AND($M$65="Oval",$CL$11=0.7),GJ91,IF(AND($M$65="Oval",$CL$11=0.9),GJ91,"")))))))))</f>
        <v>0</v>
      </c>
      <c r="GU91" s="51">
        <f>IF(MAX(GQ$5:GR$104)&lt;0.5,GQ91*2,GQ91)</f>
        <v>0</v>
      </c>
      <c r="GV91" s="51">
        <f>IF(MAX(GQ$5:GR$104)&lt;0.5,GR91*2,GR91)</f>
        <v>0</v>
      </c>
      <c r="GY91" s="51">
        <f>IF(AND(GU91=0,GV91=0),GY90,GU91+(0.5*(1-MAX(GU$5:GU$104))))</f>
        <v>0.5</v>
      </c>
      <c r="GZ91" s="51">
        <f>IF(AND(GU91=0,GV91=0),GZ90,GV91+(0.5*(1-MAX(GV$5:GV$104))))</f>
        <v>0.21600000000000003</v>
      </c>
    </row>
    <row r="92" spans="2:208">
      <c r="B92" s="9"/>
      <c r="C92" s="10"/>
      <c r="D92" s="10"/>
      <c r="E92" s="10"/>
      <c r="F92" s="11"/>
      <c r="G92" s="70"/>
      <c r="H92" s="37"/>
      <c r="I92" s="37"/>
      <c r="J92" s="37"/>
      <c r="K92" s="37"/>
      <c r="L92" s="37"/>
      <c r="M92" s="37"/>
      <c r="N92" s="37"/>
      <c r="O92" s="37"/>
      <c r="P92" s="37"/>
      <c r="Q92" s="37"/>
      <c r="R92" s="37"/>
      <c r="S92" s="37"/>
      <c r="T92" s="37"/>
      <c r="U92" s="41"/>
      <c r="V92" s="41"/>
      <c r="W92" s="41"/>
      <c r="X92" s="41"/>
      <c r="Y92" s="41"/>
      <c r="Z92" s="41"/>
      <c r="AA92" s="41"/>
      <c r="AB92" s="41"/>
      <c r="AC92" s="41"/>
      <c r="AD92" s="41"/>
      <c r="AE92" s="67"/>
      <c r="AF92" s="42"/>
      <c r="AG92" s="41"/>
      <c r="AH92" s="41"/>
      <c r="AI92" s="41"/>
      <c r="AJ92" s="43"/>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33"/>
      <c r="CH92" s="33">
        <v>10</v>
      </c>
      <c r="CI92" s="33">
        <f t="shared" si="37"/>
        <v>30.694444444444446</v>
      </c>
      <c r="CJ92" s="33">
        <f t="shared" si="38"/>
        <v>14.73407803085718</v>
      </c>
      <c r="CK92" s="33">
        <f t="shared" si="39"/>
        <v>0</v>
      </c>
      <c r="CL92" s="29">
        <v>9</v>
      </c>
      <c r="CN92" s="33">
        <v>10</v>
      </c>
      <c r="CO92" s="33">
        <f t="shared" si="40"/>
        <v>42.972222222222229</v>
      </c>
      <c r="CP92" s="33">
        <f t="shared" si="41"/>
        <v>40.325759428180596</v>
      </c>
      <c r="CQ92" s="33">
        <f t="shared" si="42"/>
        <v>0</v>
      </c>
      <c r="CR92" s="29">
        <v>9</v>
      </c>
      <c r="CT92" s="33">
        <v>10</v>
      </c>
      <c r="CU92" s="33">
        <f t="shared" si="43"/>
        <v>70.597222222222229</v>
      </c>
      <c r="CV92" s="33">
        <f t="shared" si="44"/>
        <v>82.131419523023894</v>
      </c>
      <c r="CW92" s="33">
        <f t="shared" si="45"/>
        <v>11.534197300801665</v>
      </c>
      <c r="CX92" s="29">
        <v>9</v>
      </c>
      <c r="CZ92" s="33">
        <v>10</v>
      </c>
      <c r="DA92" s="33">
        <f t="shared" si="46"/>
        <v>110.5</v>
      </c>
      <c r="DB92" s="33">
        <f t="shared" si="47"/>
        <v>168.17362993607054</v>
      </c>
      <c r="DC92" s="33">
        <f t="shared" si="48"/>
        <v>57.67362993607054</v>
      </c>
      <c r="DD92" s="29">
        <v>9</v>
      </c>
      <c r="DF92" s="60">
        <v>10</v>
      </c>
      <c r="DG92" s="60">
        <f t="shared" si="49"/>
        <v>202.58333333333334</v>
      </c>
      <c r="DH92" s="60">
        <f t="shared" si="50"/>
        <v>293.69561054826147</v>
      </c>
      <c r="DI92" s="60">
        <f t="shared" si="51"/>
        <v>91.112277214928127</v>
      </c>
      <c r="DJ92" s="51">
        <v>9</v>
      </c>
      <c r="DL92" s="60">
        <v>10</v>
      </c>
      <c r="DM92" s="60">
        <f t="shared" si="52"/>
        <v>331.5</v>
      </c>
      <c r="DN92" s="60" t="e">
        <f t="shared" si="53"/>
        <v>#VALUE!</v>
      </c>
      <c r="DO92" s="60" t="e">
        <f t="shared" si="54"/>
        <v>#VALUE!</v>
      </c>
      <c r="DP92" s="51">
        <v>9</v>
      </c>
      <c r="EG92" s="29"/>
      <c r="EH92" s="29">
        <v>30</v>
      </c>
      <c r="EI92" s="29">
        <v>88.9</v>
      </c>
      <c r="EJ92" s="29">
        <v>64.7</v>
      </c>
      <c r="EK92" s="29">
        <v>51.9</v>
      </c>
      <c r="EL92" s="29">
        <v>34</v>
      </c>
      <c r="EM92" s="29">
        <v>25.9</v>
      </c>
      <c r="EN92" s="29">
        <v>21.3</v>
      </c>
      <c r="EO92" s="29">
        <v>13</v>
      </c>
      <c r="EP92" s="29">
        <v>7.8</v>
      </c>
      <c r="EQ92" s="29">
        <v>5</v>
      </c>
      <c r="FF92" s="29">
        <v>88</v>
      </c>
      <c r="FG92" s="29">
        <f t="shared" si="35"/>
        <v>5.5292030703180357</v>
      </c>
      <c r="FH92" s="29">
        <f>($P$20/2000)*SIN(FG92)+($P$20/2000)</f>
        <v>7.8863223517827763E-2</v>
      </c>
      <c r="FI92" s="29">
        <f>($P$20/2000)*COS(FG92)+$P$20/2000</f>
        <v>0.43224215685535283</v>
      </c>
      <c r="FL92" s="29">
        <f>IF($P$19="Hexagon",EU92,IF(OR($P$19="Kerbdrain150",$P$19="Kerbdrain280"),FA92,IF(OR($P$19="Channel100",$P$19="Channel150",$P$19="Channel200",$P$19="Channel430"),EW92,IF(AND($P$19="Oval",$CJ$11=0.15),FH92,IF(AND($P$19="Oval",$CJ$11=0.225),FH92,IF(AND($P$19="Oval",$CJ$11=0.35),FH92,IF(AND($P$19="Oval",$CJ$11=0.55),FH92,IF(AND($P$19="Oval",$CJ$11=0.7),FD92,IF(AND($P$19="Oval",$CJ$11=0.9),FD92,"")))))))))</f>
        <v>0</v>
      </c>
      <c r="FM92" s="29">
        <f>IF($P$19="Hexagon",EV92,IF(OR($P$19="Kerbdrain150",$P$19="Kerbdrain280"),FB92,IF(OR($P$19="Channel100",$P$19="Channel150",$P$19="Channel200",$P$19="Channel430"),EX92,IF(AND($P$19="Oval",$CJ$11=0.15),FI92,IF(AND($P$19="Oval",$CJ$11=0.225),FI92,IF(AND($P$19="Oval",$CJ$11=0.35),FI92,IF(AND($P$19="Oval",$CJ$11=0.55),FI92,IF(AND($P$19="Oval",$CJ$11=0.7),FE92,IF(AND($P$19="Oval",$CJ$11=0.9),FE92,"")))))))))</f>
        <v>0</v>
      </c>
      <c r="FP92" s="29">
        <f>IF(MAX(FL$5:FM$104)&lt;0.5,FL92*2,FL92)</f>
        <v>0</v>
      </c>
      <c r="FQ92" s="29">
        <f>IF(MAX(FL$5:FM$104)&lt;0.5,FM92*2,FM92)</f>
        <v>0</v>
      </c>
      <c r="FT92" s="29">
        <f>IF(AND(FP92=0,FQ92=0),FT91,FP92+(0.5*(1-MAX(FP$5:FP$104))))</f>
        <v>0.5</v>
      </c>
      <c r="FU92" s="29">
        <f>IF(AND(FP92=0,FQ92=0),FU91,FQ92+(0.5*(1-MAX(FQ$5:FQ$104))))</f>
        <v>0.21600000000000003</v>
      </c>
      <c r="GK92" s="51">
        <v>88</v>
      </c>
      <c r="GL92" s="51">
        <f t="shared" si="36"/>
        <v>5.5292030703180357</v>
      </c>
      <c r="GM92" s="51">
        <f>($M$66/2000)*SIN(GL92)+($M$66/2000)</f>
        <v>7.8863223517827763E-2</v>
      </c>
      <c r="GN92" s="51">
        <f>($M$66/2000)*COS(GL92)+$M$66/2000</f>
        <v>0.43224215685535283</v>
      </c>
      <c r="GQ92" s="51">
        <f>IF($M$65="Hexagon",FZ92,IF(OR($M$65="Kerbdrain150",$M$65="Kerbdrain280"),GF92,IF(OR($M$65="Channel100",$M$65="Channel150",$M$65="Channel200",$M$65="Channel430"),GB92,IF(AND($M$65="Oval",$CL$11=0.15),GM92,IF(AND($M$65="Oval",$CL$11=0.225),GM92,IF(AND($M$65="Oval",$CL$11=0.35),GM92,IF(AND($M$65="Oval",$CL$11=0.55),GM92,IF(AND($M$65="Oval",$CL$11=0.7),GI92,IF(AND($M$65="Oval",$CL$11=0.9),GI92,"")))))))))</f>
        <v>0</v>
      </c>
      <c r="GR92" s="51">
        <f>IF($M$65="Hexagon",GA92,IF(OR($M$65="Kerbdrain150",$M$65="Kerbdrain280"),GG92,IF(OR($M$65="Channel100",$M$65="Channel150",$M$65="Channel200",$M$65="Channel430"),GC92,IF(AND($M$65="Oval",$CL$11=0.15),GN92,IF(AND($M$65="Oval",$CL$11=0.225),GN92,IF(AND($M$65="Oval",$CL$11=0.35),GN92,IF(AND($M$65="Oval",$CL$11=0.55),GN92,IF(AND($M$65="Oval",$CL$11=0.7),GJ92,IF(AND($M$65="Oval",$CL$11=0.9),GJ92,"")))))))))</f>
        <v>0</v>
      </c>
      <c r="GU92" s="51">
        <f>IF(MAX(GQ$5:GR$104)&lt;0.5,GQ92*2,GQ92)</f>
        <v>0</v>
      </c>
      <c r="GV92" s="51">
        <f>IF(MAX(GQ$5:GR$104)&lt;0.5,GR92*2,GR92)</f>
        <v>0</v>
      </c>
      <c r="GY92" s="51">
        <f>IF(AND(GU92=0,GV92=0),GY91,GU92+(0.5*(1-MAX(GU$5:GU$104))))</f>
        <v>0.5</v>
      </c>
      <c r="GZ92" s="51">
        <f>IF(AND(GU92=0,GV92=0),GZ91,GV92+(0.5*(1-MAX(GV$5:GV$104))))</f>
        <v>0.21600000000000003</v>
      </c>
    </row>
    <row r="93" spans="2:208">
      <c r="B93" s="9"/>
      <c r="C93" s="10"/>
      <c r="D93" s="10"/>
      <c r="E93" s="10"/>
      <c r="F93" s="11"/>
      <c r="G93" s="70"/>
      <c r="H93" s="37"/>
      <c r="I93" s="37"/>
      <c r="J93" s="37"/>
      <c r="K93" s="37"/>
      <c r="L93" s="37"/>
      <c r="M93" s="37"/>
      <c r="N93" s="37"/>
      <c r="O93" s="37"/>
      <c r="P93" s="37"/>
      <c r="Q93" s="37"/>
      <c r="R93" s="37"/>
      <c r="S93" s="37"/>
      <c r="T93" s="37"/>
      <c r="U93" s="41"/>
      <c r="V93" s="41"/>
      <c r="W93" s="41"/>
      <c r="X93" s="41"/>
      <c r="Y93" s="41"/>
      <c r="Z93" s="41"/>
      <c r="AA93" s="41"/>
      <c r="AB93" s="41"/>
      <c r="AC93" s="41"/>
      <c r="AD93" s="41"/>
      <c r="AE93" s="67"/>
      <c r="AF93" s="42"/>
      <c r="AG93" s="41"/>
      <c r="AH93" s="41"/>
      <c r="AI93" s="41"/>
      <c r="AJ93" s="43"/>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33"/>
      <c r="CH93" s="33">
        <v>11</v>
      </c>
      <c r="CI93" s="33">
        <f t="shared" si="37"/>
        <v>33.763888888888893</v>
      </c>
      <c r="CJ93" s="33">
        <f t="shared" si="38"/>
        <v>14.785033910195173</v>
      </c>
      <c r="CK93" s="33">
        <f t="shared" si="39"/>
        <v>0</v>
      </c>
      <c r="CL93" s="29">
        <v>10</v>
      </c>
      <c r="CN93" s="33">
        <v>11</v>
      </c>
      <c r="CO93" s="33">
        <f t="shared" si="40"/>
        <v>46.041666666666671</v>
      </c>
      <c r="CP93" s="33">
        <f t="shared" si="41"/>
        <v>40.41872403341673</v>
      </c>
      <c r="CQ93" s="33">
        <f t="shared" si="42"/>
        <v>0</v>
      </c>
      <c r="CR93" s="29">
        <v>10</v>
      </c>
      <c r="CT93" s="33">
        <v>11</v>
      </c>
      <c r="CU93" s="33">
        <f t="shared" si="43"/>
        <v>73.666666666666671</v>
      </c>
      <c r="CV93" s="33">
        <f t="shared" si="44"/>
        <v>82.273417830528658</v>
      </c>
      <c r="CW93" s="33">
        <f t="shared" si="45"/>
        <v>8.6067511638619862</v>
      </c>
      <c r="CX93" s="29">
        <v>10</v>
      </c>
      <c r="CZ93" s="33">
        <v>11</v>
      </c>
      <c r="DA93" s="33">
        <f t="shared" si="46"/>
        <v>113.56944444444446</v>
      </c>
      <c r="DB93" s="33">
        <f t="shared" si="47"/>
        <v>168.3920074422</v>
      </c>
      <c r="DC93" s="33">
        <f t="shared" si="48"/>
        <v>54.82256299775554</v>
      </c>
      <c r="DD93" s="29">
        <v>10</v>
      </c>
      <c r="DF93" s="60">
        <v>11</v>
      </c>
      <c r="DG93" s="60">
        <f t="shared" si="49"/>
        <v>205.6527777777778</v>
      </c>
      <c r="DH93" s="60">
        <f t="shared" si="50"/>
        <v>293.99990273463209</v>
      </c>
      <c r="DI93" s="60">
        <f t="shared" si="51"/>
        <v>88.347124956854287</v>
      </c>
      <c r="DJ93" s="51">
        <v>10</v>
      </c>
      <c r="DL93" s="60">
        <v>11</v>
      </c>
      <c r="DM93" s="60">
        <f t="shared" si="52"/>
        <v>334.56944444444446</v>
      </c>
      <c r="DN93" s="60" t="e">
        <f t="shared" si="53"/>
        <v>#VALUE!</v>
      </c>
      <c r="DO93" s="60" t="e">
        <f t="shared" si="54"/>
        <v>#VALUE!</v>
      </c>
      <c r="DP93" s="51">
        <v>10</v>
      </c>
      <c r="EG93" s="29"/>
      <c r="EH93" s="29">
        <v>50</v>
      </c>
      <c r="EI93" s="29">
        <v>97.9</v>
      </c>
      <c r="EJ93" s="29">
        <v>71.5</v>
      </c>
      <c r="EK93" s="29">
        <v>57.6</v>
      </c>
      <c r="EL93" s="29">
        <v>37.9</v>
      </c>
      <c r="EM93" s="29">
        <v>29</v>
      </c>
      <c r="EN93" s="29">
        <v>23.8</v>
      </c>
      <c r="EO93" s="29">
        <v>14.6</v>
      </c>
      <c r="EP93" s="29">
        <v>8.8000000000000007</v>
      </c>
      <c r="EQ93" s="29">
        <v>5</v>
      </c>
      <c r="FF93" s="29">
        <v>89</v>
      </c>
      <c r="FG93" s="29">
        <f t="shared" si="35"/>
        <v>5.5920349233898321</v>
      </c>
      <c r="FH93" s="29">
        <f>($P$20/2000)*SIN(FG93)+($P$20/2000)</f>
        <v>9.0644002562827591E-2</v>
      </c>
      <c r="FI93" s="29">
        <f>($P$20/2000)*COS(FG93)+$P$20/2000</f>
        <v>0.44262831069394737</v>
      </c>
      <c r="FL93" s="29">
        <f>IF($P$19="Hexagon",EU93,IF(OR($P$19="Kerbdrain150",$P$19="Kerbdrain280"),FA93,IF(OR($P$19="Channel100",$P$19="Channel150",$P$19="Channel200",$P$19="Channel430"),EW93,IF(AND($P$19="Oval",$CJ$11=0.15),FH93,IF(AND($P$19="Oval",$CJ$11=0.225),FH93,IF(AND($P$19="Oval",$CJ$11=0.35),FH93,IF(AND($P$19="Oval",$CJ$11=0.55),FH93,IF(AND($P$19="Oval",$CJ$11=0.7),FD93,IF(AND($P$19="Oval",$CJ$11=0.9),FD93,"")))))))))</f>
        <v>0</v>
      </c>
      <c r="FM93" s="29">
        <f>IF($P$19="Hexagon",EV93,IF(OR($P$19="Kerbdrain150",$P$19="Kerbdrain280"),FB93,IF(OR($P$19="Channel100",$P$19="Channel150",$P$19="Channel200",$P$19="Channel430"),EX93,IF(AND($P$19="Oval",$CJ$11=0.15),FI93,IF(AND($P$19="Oval",$CJ$11=0.225),FI93,IF(AND($P$19="Oval",$CJ$11=0.35),FI93,IF(AND($P$19="Oval",$CJ$11=0.55),FI93,IF(AND($P$19="Oval",$CJ$11=0.7),FE93,IF(AND($P$19="Oval",$CJ$11=0.9),FE93,"")))))))))</f>
        <v>0</v>
      </c>
      <c r="FP93" s="29">
        <f>IF(MAX(FL$5:FM$104)&lt;0.5,FL93*2,FL93)</f>
        <v>0</v>
      </c>
      <c r="FQ93" s="29">
        <f>IF(MAX(FL$5:FM$104)&lt;0.5,FM93*2,FM93)</f>
        <v>0</v>
      </c>
      <c r="FT93" s="29">
        <f>IF(AND(FP93=0,FQ93=0),FT92,FP93+(0.5*(1-MAX(FP$5:FP$104))))</f>
        <v>0.5</v>
      </c>
      <c r="FU93" s="29">
        <f>IF(AND(FP93=0,FQ93=0),FU92,FQ93+(0.5*(1-MAX(FQ$5:FQ$104))))</f>
        <v>0.21600000000000003</v>
      </c>
      <c r="GK93" s="51">
        <v>89</v>
      </c>
      <c r="GL93" s="51">
        <f t="shared" si="36"/>
        <v>5.5920349233898321</v>
      </c>
      <c r="GM93" s="51">
        <f>($M$66/2000)*SIN(GL93)+($M$66/2000)</f>
        <v>9.0644002562827591E-2</v>
      </c>
      <c r="GN93" s="51">
        <f>($M$66/2000)*COS(GL93)+$M$66/2000</f>
        <v>0.44262831069394737</v>
      </c>
      <c r="GQ93" s="51">
        <f>IF($M$65="Hexagon",FZ93,IF(OR($M$65="Kerbdrain150",$M$65="Kerbdrain280"),GF93,IF(OR($M$65="Channel100",$M$65="Channel150",$M$65="Channel200",$M$65="Channel430"),GB93,IF(AND($M$65="Oval",$CL$11=0.15),GM93,IF(AND($M$65="Oval",$CL$11=0.225),GM93,IF(AND($M$65="Oval",$CL$11=0.35),GM93,IF(AND($M$65="Oval",$CL$11=0.55),GM93,IF(AND($M$65="Oval",$CL$11=0.7),GI93,IF(AND($M$65="Oval",$CL$11=0.9),GI93,"")))))))))</f>
        <v>0</v>
      </c>
      <c r="GR93" s="51">
        <f>IF($M$65="Hexagon",GA93,IF(OR($M$65="Kerbdrain150",$M$65="Kerbdrain280"),GG93,IF(OR($M$65="Channel100",$M$65="Channel150",$M$65="Channel200",$M$65="Channel430"),GC93,IF(AND($M$65="Oval",$CL$11=0.15),GN93,IF(AND($M$65="Oval",$CL$11=0.225),GN93,IF(AND($M$65="Oval",$CL$11=0.35),GN93,IF(AND($M$65="Oval",$CL$11=0.55),GN93,IF(AND($M$65="Oval",$CL$11=0.7),GJ93,IF(AND($M$65="Oval",$CL$11=0.9),GJ93,"")))))))))</f>
        <v>0</v>
      </c>
      <c r="GU93" s="51">
        <f>IF(MAX(GQ$5:GR$104)&lt;0.5,GQ93*2,GQ93)</f>
        <v>0</v>
      </c>
      <c r="GV93" s="51">
        <f>IF(MAX(GQ$5:GR$104)&lt;0.5,GR93*2,GR93)</f>
        <v>0</v>
      </c>
      <c r="GY93" s="51">
        <f>IF(AND(GU93=0,GV93=0),GY92,GU93+(0.5*(1-MAX(GU$5:GU$104))))</f>
        <v>0.5</v>
      </c>
      <c r="GZ93" s="51">
        <f>IF(AND(GU93=0,GV93=0),GZ92,GV93+(0.5*(1-MAX(GV$5:GV$104))))</f>
        <v>0.21600000000000003</v>
      </c>
    </row>
    <row r="94" spans="2:208">
      <c r="B94" s="9"/>
      <c r="C94" s="10"/>
      <c r="D94" s="10"/>
      <c r="E94" s="10"/>
      <c r="F94" s="11"/>
      <c r="G94" s="70"/>
      <c r="H94" s="37"/>
      <c r="I94" s="37"/>
      <c r="J94" s="37"/>
      <c r="K94" s="37"/>
      <c r="L94" s="37"/>
      <c r="M94" s="37"/>
      <c r="N94" s="37"/>
      <c r="O94" s="37"/>
      <c r="P94" s="37"/>
      <c r="Q94" s="37"/>
      <c r="R94" s="37"/>
      <c r="S94" s="37"/>
      <c r="T94" s="37"/>
      <c r="U94" s="41"/>
      <c r="V94" s="41"/>
      <c r="W94" s="41"/>
      <c r="X94" s="41"/>
      <c r="Y94" s="41"/>
      <c r="Z94" s="41"/>
      <c r="AA94" s="41"/>
      <c r="AB94" s="41"/>
      <c r="AC94" s="41"/>
      <c r="AD94" s="41"/>
      <c r="AE94" s="67"/>
      <c r="AF94" s="42"/>
      <c r="AG94" s="41"/>
      <c r="AH94" s="41"/>
      <c r="AI94" s="41"/>
      <c r="AJ94" s="43"/>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33"/>
      <c r="CH94" s="33">
        <v>12</v>
      </c>
      <c r="CI94" s="33">
        <f t="shared" si="37"/>
        <v>36.833333333333336</v>
      </c>
      <c r="CJ94" s="33">
        <f t="shared" si="38"/>
        <v>14.835989789533164</v>
      </c>
      <c r="CK94" s="33">
        <f t="shared" si="39"/>
        <v>0</v>
      </c>
      <c r="CL94" s="29">
        <v>11</v>
      </c>
      <c r="CN94" s="33">
        <v>12</v>
      </c>
      <c r="CO94" s="33">
        <f t="shared" si="40"/>
        <v>49.111111111111114</v>
      </c>
      <c r="CP94" s="33">
        <f t="shared" si="41"/>
        <v>40.511688638652863</v>
      </c>
      <c r="CQ94" s="33">
        <f t="shared" si="42"/>
        <v>0</v>
      </c>
      <c r="CR94" s="29">
        <v>11</v>
      </c>
      <c r="CT94" s="33">
        <v>12</v>
      </c>
      <c r="CU94" s="33">
        <f t="shared" si="43"/>
        <v>76.736111111111114</v>
      </c>
      <c r="CV94" s="33">
        <f t="shared" si="44"/>
        <v>82.415416138033436</v>
      </c>
      <c r="CW94" s="33">
        <f t="shared" si="45"/>
        <v>5.6793050269223215</v>
      </c>
      <c r="CX94" s="29">
        <v>11</v>
      </c>
      <c r="CZ94" s="33">
        <v>12</v>
      </c>
      <c r="DA94" s="33">
        <f t="shared" si="46"/>
        <v>116.6388888888889</v>
      </c>
      <c r="DB94" s="33">
        <f t="shared" si="47"/>
        <v>168.61038494832948</v>
      </c>
      <c r="DC94" s="33">
        <f t="shared" si="48"/>
        <v>51.971496059440582</v>
      </c>
      <c r="DD94" s="29">
        <v>11</v>
      </c>
      <c r="DF94" s="60">
        <v>12</v>
      </c>
      <c r="DG94" s="60">
        <f t="shared" si="49"/>
        <v>208.72222222222223</v>
      </c>
      <c r="DH94" s="60">
        <f t="shared" si="50"/>
        <v>294.30419492100282</v>
      </c>
      <c r="DI94" s="60">
        <f t="shared" si="51"/>
        <v>85.581972698780589</v>
      </c>
      <c r="DJ94" s="51">
        <v>11</v>
      </c>
      <c r="DL94" s="60">
        <v>12</v>
      </c>
      <c r="DM94" s="60">
        <f t="shared" si="52"/>
        <v>337.63888888888891</v>
      </c>
      <c r="DN94" s="60" t="e">
        <f t="shared" si="53"/>
        <v>#VALUE!</v>
      </c>
      <c r="DO94" s="60" t="e">
        <f t="shared" si="54"/>
        <v>#VALUE!</v>
      </c>
      <c r="DP94" s="51">
        <v>11</v>
      </c>
      <c r="EG94" s="29"/>
      <c r="EH94" s="29">
        <v>100</v>
      </c>
      <c r="EI94" s="29">
        <v>111.4</v>
      </c>
      <c r="EJ94" s="29">
        <v>82</v>
      </c>
      <c r="EK94" s="29">
        <v>66.3</v>
      </c>
      <c r="EL94" s="29">
        <v>43.9</v>
      </c>
      <c r="EM94" s="29">
        <v>33.700000000000003</v>
      </c>
      <c r="EN94" s="29">
        <v>27.7</v>
      </c>
      <c r="EO94" s="29">
        <v>17</v>
      </c>
      <c r="EP94" s="29">
        <v>10.199999999999999</v>
      </c>
      <c r="EQ94" s="29">
        <v>6</v>
      </c>
      <c r="FF94" s="29">
        <v>90</v>
      </c>
      <c r="FG94" s="29">
        <f t="shared" si="35"/>
        <v>5.6548667764616276</v>
      </c>
      <c r="FH94" s="29">
        <f>($P$20/2000)*SIN(FG94)+($P$20/2000)</f>
        <v>0.10305368692688166</v>
      </c>
      <c r="FI94" s="29">
        <f>($P$20/2000)*COS(FG94)+$P$20/2000</f>
        <v>0.45225424859373686</v>
      </c>
      <c r="FL94" s="29">
        <f>IF($P$19="Hexagon",EU94,IF(OR($P$19="Kerbdrain150",$P$19="Kerbdrain280"),FA94,IF(OR($P$19="Channel100",$P$19="Channel150",$P$19="Channel200",$P$19="Channel430"),EW94,IF(AND($P$19="Oval",$CJ$11=0.15),FH94,IF(AND($P$19="Oval",$CJ$11=0.225),FH94,IF(AND($P$19="Oval",$CJ$11=0.35),FH94,IF(AND($P$19="Oval",$CJ$11=0.55),FH94,IF(AND($P$19="Oval",$CJ$11=0.7),FD94,IF(AND($P$19="Oval",$CJ$11=0.9),FD94,"")))))))))</f>
        <v>0</v>
      </c>
      <c r="FM94" s="29">
        <f>IF($P$19="Hexagon",EV94,IF(OR($P$19="Kerbdrain150",$P$19="Kerbdrain280"),FB94,IF(OR($P$19="Channel100",$P$19="Channel150",$P$19="Channel200",$P$19="Channel430"),EX94,IF(AND($P$19="Oval",$CJ$11=0.15),FI94,IF(AND($P$19="Oval",$CJ$11=0.225),FI94,IF(AND($P$19="Oval",$CJ$11=0.35),FI94,IF(AND($P$19="Oval",$CJ$11=0.55),FI94,IF(AND($P$19="Oval",$CJ$11=0.7),FE94,IF(AND($P$19="Oval",$CJ$11=0.9),FE94,"")))))))))</f>
        <v>0</v>
      </c>
      <c r="FP94" s="29">
        <f>IF(MAX(FL$5:FM$104)&lt;0.5,FL94*2,FL94)</f>
        <v>0</v>
      </c>
      <c r="FQ94" s="29">
        <f>IF(MAX(FL$5:FM$104)&lt;0.5,FM94*2,FM94)</f>
        <v>0</v>
      </c>
      <c r="FT94" s="29">
        <f>IF(AND(FP94=0,FQ94=0),FT93,FP94+(0.5*(1-MAX(FP$5:FP$104))))</f>
        <v>0.5</v>
      </c>
      <c r="FU94" s="29">
        <f>IF(AND(FP94=0,FQ94=0),FU93,FQ94+(0.5*(1-MAX(FQ$5:FQ$104))))</f>
        <v>0.21600000000000003</v>
      </c>
      <c r="GK94" s="51">
        <v>90</v>
      </c>
      <c r="GL94" s="51">
        <f t="shared" si="36"/>
        <v>5.6548667764616276</v>
      </c>
      <c r="GM94" s="51">
        <f>($M$66/2000)*SIN(GL94)+($M$66/2000)</f>
        <v>0.10305368692688166</v>
      </c>
      <c r="GN94" s="51">
        <f>($M$66/2000)*COS(GL94)+$M$66/2000</f>
        <v>0.45225424859373686</v>
      </c>
      <c r="GQ94" s="51">
        <f>IF($M$65="Hexagon",FZ94,IF(OR($M$65="Kerbdrain150",$M$65="Kerbdrain280"),GF94,IF(OR($M$65="Channel100",$M$65="Channel150",$M$65="Channel200",$M$65="Channel430"),GB94,IF(AND($M$65="Oval",$CL$11=0.15),GM94,IF(AND($M$65="Oval",$CL$11=0.225),GM94,IF(AND($M$65="Oval",$CL$11=0.35),GM94,IF(AND($M$65="Oval",$CL$11=0.55),GM94,IF(AND($M$65="Oval",$CL$11=0.7),GI94,IF(AND($M$65="Oval",$CL$11=0.9),GI94,"")))))))))</f>
        <v>0</v>
      </c>
      <c r="GR94" s="51">
        <f>IF($M$65="Hexagon",GA94,IF(OR($M$65="Kerbdrain150",$M$65="Kerbdrain280"),GG94,IF(OR($M$65="Channel100",$M$65="Channel150",$M$65="Channel200",$M$65="Channel430"),GC94,IF(AND($M$65="Oval",$CL$11=0.15),GN94,IF(AND($M$65="Oval",$CL$11=0.225),GN94,IF(AND($M$65="Oval",$CL$11=0.35),GN94,IF(AND($M$65="Oval",$CL$11=0.55),GN94,IF(AND($M$65="Oval",$CL$11=0.7),GJ94,IF(AND($M$65="Oval",$CL$11=0.9),GJ94,"")))))))))</f>
        <v>0</v>
      </c>
      <c r="GU94" s="51">
        <f>IF(MAX(GQ$5:GR$104)&lt;0.5,GQ94*2,GQ94)</f>
        <v>0</v>
      </c>
      <c r="GV94" s="51">
        <f>IF(MAX(GQ$5:GR$104)&lt;0.5,GR94*2,GR94)</f>
        <v>0</v>
      </c>
      <c r="GY94" s="51">
        <f>IF(AND(GU94=0,GV94=0),GY93,GU94+(0.5*(1-MAX(GU$5:GU$104))))</f>
        <v>0.5</v>
      </c>
      <c r="GZ94" s="51">
        <f>IF(AND(GU94=0,GV94=0),GZ93,GV94+(0.5*(1-MAX(GV$5:GV$104))))</f>
        <v>0.21600000000000003</v>
      </c>
    </row>
    <row r="95" spans="2:208">
      <c r="B95" s="9"/>
      <c r="C95" s="10"/>
      <c r="D95" s="10"/>
      <c r="E95" s="10"/>
      <c r="F95" s="11"/>
      <c r="G95" s="70"/>
      <c r="H95" s="37"/>
      <c r="I95" s="37"/>
      <c r="J95" s="37"/>
      <c r="K95" s="37"/>
      <c r="L95" s="37"/>
      <c r="M95" s="37"/>
      <c r="N95" s="37"/>
      <c r="O95" s="37"/>
      <c r="P95" s="37"/>
      <c r="Q95" s="37"/>
      <c r="R95" s="37"/>
      <c r="S95" s="37"/>
      <c r="T95" s="37"/>
      <c r="U95" s="41"/>
      <c r="V95" s="41"/>
      <c r="W95" s="41"/>
      <c r="X95" s="41"/>
      <c r="Y95" s="41"/>
      <c r="Z95" s="41"/>
      <c r="AA95" s="41"/>
      <c r="AB95" s="41"/>
      <c r="AC95" s="41"/>
      <c r="AD95" s="41"/>
      <c r="AE95" s="67"/>
      <c r="AF95" s="42"/>
      <c r="AG95" s="41"/>
      <c r="AH95" s="41"/>
      <c r="AI95" s="41"/>
      <c r="AJ95" s="43"/>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33"/>
      <c r="CH95" s="33">
        <v>13</v>
      </c>
      <c r="CI95" s="33">
        <f t="shared" si="37"/>
        <v>39.902777777777779</v>
      </c>
      <c r="CJ95" s="33">
        <f t="shared" si="38"/>
        <v>14.886945668871157</v>
      </c>
      <c r="CK95" s="33">
        <f t="shared" si="39"/>
        <v>0</v>
      </c>
      <c r="CL95" s="29">
        <v>12</v>
      </c>
      <c r="CN95" s="33">
        <v>13</v>
      </c>
      <c r="CO95" s="33">
        <f t="shared" si="40"/>
        <v>52.180555555555557</v>
      </c>
      <c r="CP95" s="33">
        <f t="shared" si="41"/>
        <v>40.604653243888997</v>
      </c>
      <c r="CQ95" s="33">
        <f t="shared" si="42"/>
        <v>0</v>
      </c>
      <c r="CR95" s="29">
        <v>12</v>
      </c>
      <c r="CT95" s="33">
        <v>13</v>
      </c>
      <c r="CU95" s="33">
        <f t="shared" si="43"/>
        <v>79.805555555555557</v>
      </c>
      <c r="CV95" s="33">
        <f t="shared" si="44"/>
        <v>82.5574144455382</v>
      </c>
      <c r="CW95" s="33">
        <f t="shared" si="45"/>
        <v>2.7518588899826426</v>
      </c>
      <c r="CX95" s="29">
        <v>12</v>
      </c>
      <c r="CZ95" s="33">
        <v>13</v>
      </c>
      <c r="DA95" s="33">
        <f t="shared" si="46"/>
        <v>119.70833333333334</v>
      </c>
      <c r="DB95" s="33">
        <f t="shared" si="47"/>
        <v>168.82876245445891</v>
      </c>
      <c r="DC95" s="33">
        <f t="shared" si="48"/>
        <v>49.120429121125568</v>
      </c>
      <c r="DD95" s="29">
        <v>12</v>
      </c>
      <c r="DF95" s="60">
        <v>13</v>
      </c>
      <c r="DG95" s="60">
        <f t="shared" si="49"/>
        <v>211.79166666666669</v>
      </c>
      <c r="DH95" s="60">
        <f t="shared" si="50"/>
        <v>294.60848710737343</v>
      </c>
      <c r="DI95" s="60">
        <f t="shared" si="51"/>
        <v>82.816820440706749</v>
      </c>
      <c r="DJ95" s="51">
        <v>12</v>
      </c>
      <c r="DL95" s="60">
        <v>13</v>
      </c>
      <c r="DM95" s="60">
        <f t="shared" si="52"/>
        <v>340.70833333333337</v>
      </c>
      <c r="DN95" s="60" t="e">
        <f t="shared" si="53"/>
        <v>#VALUE!</v>
      </c>
      <c r="DO95" s="60" t="e">
        <f t="shared" si="54"/>
        <v>#VALUE!</v>
      </c>
      <c r="DP95" s="51">
        <v>12</v>
      </c>
      <c r="EG95" s="29"/>
      <c r="EH95" s="29">
        <v>500</v>
      </c>
      <c r="EI95" s="29">
        <v>150.69999999999999</v>
      </c>
      <c r="EJ95" s="29">
        <v>112.6</v>
      </c>
      <c r="EK95" s="29">
        <v>92</v>
      </c>
      <c r="EL95" s="29">
        <v>61.9</v>
      </c>
      <c r="EM95" s="29">
        <v>47.8</v>
      </c>
      <c r="EN95" s="29">
        <v>39.4</v>
      </c>
      <c r="EO95" s="29">
        <v>24.4</v>
      </c>
      <c r="EP95" s="29">
        <v>14.8</v>
      </c>
      <c r="EQ95" s="29">
        <v>7</v>
      </c>
      <c r="FF95" s="29">
        <v>91</v>
      </c>
      <c r="FG95" s="29">
        <f t="shared" si="35"/>
        <v>5.717698629533424</v>
      </c>
      <c r="FH95" s="29">
        <f>($P$20/2000)*SIN(FG95)+($P$20/2000)</f>
        <v>0.11604330125525092</v>
      </c>
      <c r="FI95" s="29">
        <f>($P$20/2000)*COS(FG95)+$P$20/2000</f>
        <v>0.46108198137550382</v>
      </c>
      <c r="FL95" s="29">
        <f>IF($P$19="Hexagon",EU95,IF(OR($P$19="Kerbdrain150",$P$19="Kerbdrain280"),FA95,IF(OR($P$19="Channel100",$P$19="Channel150",$P$19="Channel200",$P$19="Channel430"),EW95,IF(AND($P$19="Oval",$CJ$11=0.15),FH95,IF(AND($P$19="Oval",$CJ$11=0.225),FH95,IF(AND($P$19="Oval",$CJ$11=0.35),FH95,IF(AND($P$19="Oval",$CJ$11=0.55),FH95,IF(AND($P$19="Oval",$CJ$11=0.7),FD95,IF(AND($P$19="Oval",$CJ$11=0.9),FD95,"")))))))))</f>
        <v>0</v>
      </c>
      <c r="FM95" s="29">
        <f>IF($P$19="Hexagon",EV95,IF(OR($P$19="Kerbdrain150",$P$19="Kerbdrain280"),FB95,IF(OR($P$19="Channel100",$P$19="Channel150",$P$19="Channel200",$P$19="Channel430"),EX95,IF(AND($P$19="Oval",$CJ$11=0.15),FI95,IF(AND($P$19="Oval",$CJ$11=0.225),FI95,IF(AND($P$19="Oval",$CJ$11=0.35),FI95,IF(AND($P$19="Oval",$CJ$11=0.55),FI95,IF(AND($P$19="Oval",$CJ$11=0.7),FE95,IF(AND($P$19="Oval",$CJ$11=0.9),FE95,"")))))))))</f>
        <v>0</v>
      </c>
      <c r="FP95" s="29">
        <f>IF(MAX(FL$5:FM$104)&lt;0.5,FL95*2,FL95)</f>
        <v>0</v>
      </c>
      <c r="FQ95" s="29">
        <f>IF(MAX(FL$5:FM$104)&lt;0.5,FM95*2,FM95)</f>
        <v>0</v>
      </c>
      <c r="FT95" s="29">
        <f>IF(AND(FP95=0,FQ95=0),FT94,FP95+(0.5*(1-MAX(FP$5:FP$104))))</f>
        <v>0.5</v>
      </c>
      <c r="FU95" s="29">
        <f>IF(AND(FP95=0,FQ95=0),FU94,FQ95+(0.5*(1-MAX(FQ$5:FQ$104))))</f>
        <v>0.21600000000000003</v>
      </c>
      <c r="GK95" s="51">
        <v>91</v>
      </c>
      <c r="GL95" s="51">
        <f t="shared" si="36"/>
        <v>5.717698629533424</v>
      </c>
      <c r="GM95" s="51">
        <f>($M$66/2000)*SIN(GL95)+($M$66/2000)</f>
        <v>0.11604330125525092</v>
      </c>
      <c r="GN95" s="51">
        <f>($M$66/2000)*COS(GL95)+$M$66/2000</f>
        <v>0.46108198137550382</v>
      </c>
      <c r="GQ95" s="51">
        <f>IF($M$65="Hexagon",FZ95,IF(OR($M$65="Kerbdrain150",$M$65="Kerbdrain280"),GF95,IF(OR($M$65="Channel100",$M$65="Channel150",$M$65="Channel200",$M$65="Channel430"),GB95,IF(AND($M$65="Oval",$CL$11=0.15),GM95,IF(AND($M$65="Oval",$CL$11=0.225),GM95,IF(AND($M$65="Oval",$CL$11=0.35),GM95,IF(AND($M$65="Oval",$CL$11=0.55),GM95,IF(AND($M$65="Oval",$CL$11=0.7),GI95,IF(AND($M$65="Oval",$CL$11=0.9),GI95,"")))))))))</f>
        <v>0</v>
      </c>
      <c r="GR95" s="51">
        <f>IF($M$65="Hexagon",GA95,IF(OR($M$65="Kerbdrain150",$M$65="Kerbdrain280"),GG95,IF(OR($M$65="Channel100",$M$65="Channel150",$M$65="Channel200",$M$65="Channel430"),GC95,IF(AND($M$65="Oval",$CL$11=0.15),GN95,IF(AND($M$65="Oval",$CL$11=0.225),GN95,IF(AND($M$65="Oval",$CL$11=0.35),GN95,IF(AND($M$65="Oval",$CL$11=0.55),GN95,IF(AND($M$65="Oval",$CL$11=0.7),GJ95,IF(AND($M$65="Oval",$CL$11=0.9),GJ95,"")))))))))</f>
        <v>0</v>
      </c>
      <c r="GU95" s="51">
        <f>IF(MAX(GQ$5:GR$104)&lt;0.5,GQ95*2,GQ95)</f>
        <v>0</v>
      </c>
      <c r="GV95" s="51">
        <f>IF(MAX(GQ$5:GR$104)&lt;0.5,GR95*2,GR95)</f>
        <v>0</v>
      </c>
      <c r="GY95" s="51">
        <f>IF(AND(GU95=0,GV95=0),GY94,GU95+(0.5*(1-MAX(GU$5:GU$104))))</f>
        <v>0.5</v>
      </c>
      <c r="GZ95" s="51">
        <f>IF(AND(GU95=0,GV95=0),GZ94,GV95+(0.5*(1-MAX(GV$5:GV$104))))</f>
        <v>0.21600000000000003</v>
      </c>
    </row>
    <row r="96" spans="2:208">
      <c r="B96" s="9"/>
      <c r="C96" s="10"/>
      <c r="D96" s="10"/>
      <c r="E96" s="10"/>
      <c r="F96" s="11"/>
      <c r="G96" s="70"/>
      <c r="H96" s="37"/>
      <c r="I96" s="37"/>
      <c r="J96" s="37"/>
      <c r="K96" s="37"/>
      <c r="L96" s="37"/>
      <c r="M96" s="37"/>
      <c r="N96" s="37"/>
      <c r="O96" s="37"/>
      <c r="P96" s="37"/>
      <c r="Q96" s="37"/>
      <c r="R96" s="37"/>
      <c r="S96" s="37"/>
      <c r="T96" s="37"/>
      <c r="U96" s="41"/>
      <c r="V96" s="41"/>
      <c r="W96" s="41"/>
      <c r="X96" s="41"/>
      <c r="Y96" s="41"/>
      <c r="Z96" s="41"/>
      <c r="AA96" s="41"/>
      <c r="AB96" s="41"/>
      <c r="AC96" s="41"/>
      <c r="AD96" s="41"/>
      <c r="AE96" s="67"/>
      <c r="AF96" s="42"/>
      <c r="AG96" s="41"/>
      <c r="AH96" s="41"/>
      <c r="AI96" s="41"/>
      <c r="AJ96" s="43"/>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33"/>
      <c r="CH96" s="33">
        <v>14</v>
      </c>
      <c r="CI96" s="33">
        <f t="shared" si="37"/>
        <v>42.972222222222229</v>
      </c>
      <c r="CJ96" s="33">
        <f t="shared" si="38"/>
        <v>14.937901548209148</v>
      </c>
      <c r="CK96" s="33">
        <f t="shared" si="39"/>
        <v>0</v>
      </c>
      <c r="CL96" s="29">
        <v>13</v>
      </c>
      <c r="CN96" s="33">
        <v>14</v>
      </c>
      <c r="CO96" s="33">
        <f t="shared" si="40"/>
        <v>55.25</v>
      </c>
      <c r="CP96" s="33">
        <f t="shared" si="41"/>
        <v>40.697617849125137</v>
      </c>
      <c r="CQ96" s="33">
        <f t="shared" si="42"/>
        <v>0</v>
      </c>
      <c r="CR96" s="29">
        <v>13</v>
      </c>
      <c r="CT96" s="33">
        <v>14</v>
      </c>
      <c r="CU96" s="33">
        <f t="shared" si="43"/>
        <v>82.875</v>
      </c>
      <c r="CV96" s="33">
        <f t="shared" si="44"/>
        <v>82.699412753042964</v>
      </c>
      <c r="CW96" s="33">
        <f t="shared" si="45"/>
        <v>0</v>
      </c>
      <c r="CX96" s="29">
        <v>13</v>
      </c>
      <c r="CZ96" s="33">
        <v>14</v>
      </c>
      <c r="DA96" s="33">
        <f t="shared" si="46"/>
        <v>122.77777777777779</v>
      </c>
      <c r="DB96" s="33">
        <f t="shared" si="47"/>
        <v>169.04713996058837</v>
      </c>
      <c r="DC96" s="33">
        <f t="shared" si="48"/>
        <v>46.269362182810582</v>
      </c>
      <c r="DD96" s="29">
        <v>13</v>
      </c>
      <c r="DF96" s="60">
        <v>14</v>
      </c>
      <c r="DG96" s="60">
        <f t="shared" si="49"/>
        <v>214.86111111111111</v>
      </c>
      <c r="DH96" s="60">
        <f t="shared" si="50"/>
        <v>294.91277929374405</v>
      </c>
      <c r="DI96" s="60">
        <f t="shared" si="51"/>
        <v>80.051668182632937</v>
      </c>
      <c r="DJ96" s="51">
        <v>13</v>
      </c>
      <c r="DL96" s="60">
        <v>14</v>
      </c>
      <c r="DM96" s="60">
        <f t="shared" si="52"/>
        <v>343.77777777777783</v>
      </c>
      <c r="DN96" s="60" t="e">
        <f t="shared" si="53"/>
        <v>#VALUE!</v>
      </c>
      <c r="DO96" s="60" t="e">
        <f t="shared" si="54"/>
        <v>#VALUE!</v>
      </c>
      <c r="DP96" s="51">
        <v>13</v>
      </c>
      <c r="EG96" s="29"/>
      <c r="EH96" s="29">
        <v>1000</v>
      </c>
      <c r="EI96" s="29">
        <v>171.6</v>
      </c>
      <c r="EJ96" s="29">
        <v>129</v>
      </c>
      <c r="EK96" s="29">
        <v>106</v>
      </c>
      <c r="EL96" s="29">
        <v>71.8</v>
      </c>
      <c r="EM96" s="29">
        <v>55.5</v>
      </c>
      <c r="EN96" s="29">
        <v>45.9</v>
      </c>
      <c r="EO96" s="29">
        <v>28.5</v>
      </c>
      <c r="EP96" s="29">
        <v>17.3</v>
      </c>
      <c r="EQ96" s="29">
        <v>10</v>
      </c>
      <c r="FF96" s="29">
        <v>92</v>
      </c>
      <c r="FG96" s="29">
        <f t="shared" si="35"/>
        <v>5.7805304826052195</v>
      </c>
      <c r="FH96" s="29">
        <f>($P$20/2000)*SIN(FG96)+($P$20/2000)</f>
        <v>0.12956158147457117</v>
      </c>
      <c r="FI96" s="29">
        <f>($P$20/2000)*COS(FG96)+$P$20/2000</f>
        <v>0.46907667001096587</v>
      </c>
      <c r="FL96" s="29">
        <f>IF($P$19="Hexagon",EU96,IF(OR($P$19="Kerbdrain150",$P$19="Kerbdrain280"),FA96,IF(OR($P$19="Channel100",$P$19="Channel150",$P$19="Channel200",$P$19="Channel430"),EW96,IF(AND($P$19="Oval",$CJ$11=0.15),FH96,IF(AND($P$19="Oval",$CJ$11=0.225),FH96,IF(AND($P$19="Oval",$CJ$11=0.35),FH96,IF(AND($P$19="Oval",$CJ$11=0.55),FH96,IF(AND($P$19="Oval",$CJ$11=0.7),FD96,IF(AND($P$19="Oval",$CJ$11=0.9),FD96,"")))))))))</f>
        <v>0</v>
      </c>
      <c r="FM96" s="29">
        <f>IF($P$19="Hexagon",EV96,IF(OR($P$19="Kerbdrain150",$P$19="Kerbdrain280"),FB96,IF(OR($P$19="Channel100",$P$19="Channel150",$P$19="Channel200",$P$19="Channel430"),EX96,IF(AND($P$19="Oval",$CJ$11=0.15),FI96,IF(AND($P$19="Oval",$CJ$11=0.225),FI96,IF(AND($P$19="Oval",$CJ$11=0.35),FI96,IF(AND($P$19="Oval",$CJ$11=0.55),FI96,IF(AND($P$19="Oval",$CJ$11=0.7),FE96,IF(AND($P$19="Oval",$CJ$11=0.9),FE96,"")))))))))</f>
        <v>0</v>
      </c>
      <c r="FP96" s="29">
        <f>IF(MAX(FL$5:FM$104)&lt;0.5,FL96*2,FL96)</f>
        <v>0</v>
      </c>
      <c r="FQ96" s="29">
        <f>IF(MAX(FL$5:FM$104)&lt;0.5,FM96*2,FM96)</f>
        <v>0</v>
      </c>
      <c r="FT96" s="29">
        <f>IF(AND(FP96=0,FQ96=0),FT95,FP96+(0.5*(1-MAX(FP$5:FP$104))))</f>
        <v>0.5</v>
      </c>
      <c r="FU96" s="29">
        <f>IF(AND(FP96=0,FQ96=0),FU95,FQ96+(0.5*(1-MAX(FQ$5:FQ$104))))</f>
        <v>0.21600000000000003</v>
      </c>
      <c r="GK96" s="51">
        <v>92</v>
      </c>
      <c r="GL96" s="51">
        <f t="shared" si="36"/>
        <v>5.7805304826052195</v>
      </c>
      <c r="GM96" s="51">
        <f>($M$66/2000)*SIN(GL96)+($M$66/2000)</f>
        <v>0.12956158147457117</v>
      </c>
      <c r="GN96" s="51">
        <f>($M$66/2000)*COS(GL96)+$M$66/2000</f>
        <v>0.46907667001096587</v>
      </c>
      <c r="GQ96" s="51">
        <f>IF($M$65="Hexagon",FZ96,IF(OR($M$65="Kerbdrain150",$M$65="Kerbdrain280"),GF96,IF(OR($M$65="Channel100",$M$65="Channel150",$M$65="Channel200",$M$65="Channel430"),GB96,IF(AND($M$65="Oval",$CL$11=0.15),GM96,IF(AND($M$65="Oval",$CL$11=0.225),GM96,IF(AND($M$65="Oval",$CL$11=0.35),GM96,IF(AND($M$65="Oval",$CL$11=0.55),GM96,IF(AND($M$65="Oval",$CL$11=0.7),GI96,IF(AND($M$65="Oval",$CL$11=0.9),GI96,"")))))))))</f>
        <v>0</v>
      </c>
      <c r="GR96" s="51">
        <f>IF($M$65="Hexagon",GA96,IF(OR($M$65="Kerbdrain150",$M$65="Kerbdrain280"),GG96,IF(OR($M$65="Channel100",$M$65="Channel150",$M$65="Channel200",$M$65="Channel430"),GC96,IF(AND($M$65="Oval",$CL$11=0.15),GN96,IF(AND($M$65="Oval",$CL$11=0.225),GN96,IF(AND($M$65="Oval",$CL$11=0.35),GN96,IF(AND($M$65="Oval",$CL$11=0.55),GN96,IF(AND($M$65="Oval",$CL$11=0.7),GJ96,IF(AND($M$65="Oval",$CL$11=0.9),GJ96,"")))))))))</f>
        <v>0</v>
      </c>
      <c r="GU96" s="51">
        <f>IF(MAX(GQ$5:GR$104)&lt;0.5,GQ96*2,GQ96)</f>
        <v>0</v>
      </c>
      <c r="GV96" s="51">
        <f>IF(MAX(GQ$5:GR$104)&lt;0.5,GR96*2,GR96)</f>
        <v>0</v>
      </c>
      <c r="GY96" s="51">
        <f>IF(AND(GU96=0,GV96=0),GY95,GU96+(0.5*(1-MAX(GU$5:GU$104))))</f>
        <v>0.5</v>
      </c>
      <c r="GZ96" s="51">
        <f>IF(AND(GU96=0,GV96=0),GZ95,GV96+(0.5*(1-MAX(GV$5:GV$104))))</f>
        <v>0.21600000000000003</v>
      </c>
    </row>
    <row r="97" spans="2:208">
      <c r="B97" s="9"/>
      <c r="C97" s="10"/>
      <c r="D97" s="10"/>
      <c r="E97" s="10"/>
      <c r="F97" s="11"/>
      <c r="G97" s="70"/>
      <c r="H97" s="37"/>
      <c r="I97" s="37"/>
      <c r="J97" s="37"/>
      <c r="K97" s="37"/>
      <c r="L97" s="37"/>
      <c r="M97" s="37"/>
      <c r="N97" s="37"/>
      <c r="O97" s="37"/>
      <c r="P97" s="37"/>
      <c r="Q97" s="37"/>
      <c r="R97" s="37"/>
      <c r="S97" s="37"/>
      <c r="T97" s="37"/>
      <c r="U97" s="41"/>
      <c r="V97" s="41"/>
      <c r="W97" s="41"/>
      <c r="X97" s="41"/>
      <c r="Y97" s="41"/>
      <c r="Z97" s="41"/>
      <c r="AA97" s="41"/>
      <c r="AB97" s="41"/>
      <c r="AC97" s="41"/>
      <c r="AD97" s="41"/>
      <c r="AE97" s="67"/>
      <c r="AF97" s="42"/>
      <c r="AG97" s="41"/>
      <c r="AH97" s="41"/>
      <c r="AI97" s="41"/>
      <c r="AJ97" s="43"/>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33"/>
      <c r="CH97" s="33">
        <v>15</v>
      </c>
      <c r="CI97" s="33">
        <f t="shared" si="37"/>
        <v>46.041666666666671</v>
      </c>
      <c r="CJ97" s="33">
        <f t="shared" si="38"/>
        <v>14.988857427547142</v>
      </c>
      <c r="CK97" s="33">
        <f t="shared" si="39"/>
        <v>0</v>
      </c>
      <c r="CL97" s="29">
        <v>14</v>
      </c>
      <c r="CN97" s="33">
        <v>15</v>
      </c>
      <c r="CO97" s="33">
        <f t="shared" si="40"/>
        <v>58.31944444444445</v>
      </c>
      <c r="CP97" s="33">
        <f t="shared" si="41"/>
        <v>40.790582454361271</v>
      </c>
      <c r="CQ97" s="33">
        <f t="shared" si="42"/>
        <v>0</v>
      </c>
      <c r="CR97" s="29">
        <v>14</v>
      </c>
      <c r="CT97" s="33">
        <v>15</v>
      </c>
      <c r="CU97" s="33">
        <f t="shared" si="43"/>
        <v>85.944444444444457</v>
      </c>
      <c r="CV97" s="33">
        <f t="shared" si="44"/>
        <v>82.841411060547742</v>
      </c>
      <c r="CW97" s="33">
        <f t="shared" si="45"/>
        <v>0</v>
      </c>
      <c r="CX97" s="29">
        <v>14</v>
      </c>
      <c r="CZ97" s="33">
        <v>15</v>
      </c>
      <c r="DA97" s="33">
        <f t="shared" si="46"/>
        <v>125.84722222222223</v>
      </c>
      <c r="DB97" s="33">
        <f t="shared" si="47"/>
        <v>169.26551746671782</v>
      </c>
      <c r="DC97" s="33">
        <f t="shared" si="48"/>
        <v>43.418295244495596</v>
      </c>
      <c r="DD97" s="29">
        <v>14</v>
      </c>
      <c r="DF97" s="60">
        <v>15</v>
      </c>
      <c r="DG97" s="60">
        <f t="shared" si="49"/>
        <v>217.93055555555557</v>
      </c>
      <c r="DH97" s="60">
        <f t="shared" si="50"/>
        <v>295.21707148011473</v>
      </c>
      <c r="DI97" s="60">
        <f t="shared" si="51"/>
        <v>77.286515924559154</v>
      </c>
      <c r="DJ97" s="51">
        <v>14</v>
      </c>
      <c r="DL97" s="60">
        <v>15</v>
      </c>
      <c r="DM97" s="60">
        <f t="shared" si="52"/>
        <v>346.84722222222223</v>
      </c>
      <c r="DN97" s="60" t="e">
        <f t="shared" si="53"/>
        <v>#VALUE!</v>
      </c>
      <c r="DO97" s="60" t="e">
        <f t="shared" si="54"/>
        <v>#VALUE!</v>
      </c>
      <c r="DP97" s="51">
        <v>14</v>
      </c>
      <c r="FF97" s="29">
        <v>93</v>
      </c>
      <c r="FG97" s="29">
        <f t="shared" si="35"/>
        <v>5.8433623356770159</v>
      </c>
      <c r="FH97" s="29">
        <f>($P$20/2000)*SIN(FG97)+($P$20/2000)</f>
        <v>0.14355517710873195</v>
      </c>
      <c r="FI97" s="29">
        <f>($P$20/2000)*COS(FG97)+$P$20/2000</f>
        <v>0.47620676311650489</v>
      </c>
      <c r="FL97" s="29">
        <f>IF($P$19="Hexagon",EU97,IF(OR($P$19="Kerbdrain150",$P$19="Kerbdrain280"),FA97,IF(OR($P$19="Channel100",$P$19="Channel150",$P$19="Channel200",$P$19="Channel430"),EW97,IF(AND($P$19="Oval",$CJ$11=0.15),FH97,IF(AND($P$19="Oval",$CJ$11=0.225),FH97,IF(AND($P$19="Oval",$CJ$11=0.35),FH97,IF(AND($P$19="Oval",$CJ$11=0.55),FH97,IF(AND($P$19="Oval",$CJ$11=0.7),FD97,IF(AND($P$19="Oval",$CJ$11=0.9),FD97,"")))))))))</f>
        <v>0</v>
      </c>
      <c r="FM97" s="29">
        <f>IF($P$19="Hexagon",EV97,IF(OR($P$19="Kerbdrain150",$P$19="Kerbdrain280"),FB97,IF(OR($P$19="Channel100",$P$19="Channel150",$P$19="Channel200",$P$19="Channel430"),EX97,IF(AND($P$19="Oval",$CJ$11=0.15),FI97,IF(AND($P$19="Oval",$CJ$11=0.225),FI97,IF(AND($P$19="Oval",$CJ$11=0.35),FI97,IF(AND($P$19="Oval",$CJ$11=0.55),FI97,IF(AND($P$19="Oval",$CJ$11=0.7),FE97,IF(AND($P$19="Oval",$CJ$11=0.9),FE97,"")))))))))</f>
        <v>0</v>
      </c>
      <c r="FP97" s="29">
        <f>IF(MAX(FL$5:FM$104)&lt;0.5,FL97*2,FL97)</f>
        <v>0</v>
      </c>
      <c r="FQ97" s="29">
        <f>IF(MAX(FL$5:FM$104)&lt;0.5,FM97*2,FM97)</f>
        <v>0</v>
      </c>
      <c r="FT97" s="29">
        <f>IF(AND(FP97=0,FQ97=0),FT96,FP97+(0.5*(1-MAX(FP$5:FP$104))))</f>
        <v>0.5</v>
      </c>
      <c r="FU97" s="29">
        <f>IF(AND(FP97=0,FQ97=0),FU96,FQ97+(0.5*(1-MAX(FQ$5:FQ$104))))</f>
        <v>0.21600000000000003</v>
      </c>
      <c r="GK97" s="51">
        <v>93</v>
      </c>
      <c r="GL97" s="51">
        <f t="shared" si="36"/>
        <v>5.8433623356770159</v>
      </c>
      <c r="GM97" s="51">
        <f>($M$66/2000)*SIN(GL97)+($M$66/2000)</f>
        <v>0.14355517710873195</v>
      </c>
      <c r="GN97" s="51">
        <f>($M$66/2000)*COS(GL97)+$M$66/2000</f>
        <v>0.47620676311650489</v>
      </c>
      <c r="GQ97" s="51">
        <f>IF($M$65="Hexagon",FZ97,IF(OR($M$65="Kerbdrain150",$M$65="Kerbdrain280"),GF97,IF(OR($M$65="Channel100",$M$65="Channel150",$M$65="Channel200",$M$65="Channel430"),GB97,IF(AND($M$65="Oval",$CL$11=0.15),GM97,IF(AND($M$65="Oval",$CL$11=0.225),GM97,IF(AND($M$65="Oval",$CL$11=0.35),GM97,IF(AND($M$65="Oval",$CL$11=0.55),GM97,IF(AND($M$65="Oval",$CL$11=0.7),GI97,IF(AND($M$65="Oval",$CL$11=0.9),GI97,"")))))))))</f>
        <v>0</v>
      </c>
      <c r="GR97" s="51">
        <f>IF($M$65="Hexagon",GA97,IF(OR($M$65="Kerbdrain150",$M$65="Kerbdrain280"),GG97,IF(OR($M$65="Channel100",$M$65="Channel150",$M$65="Channel200",$M$65="Channel430"),GC97,IF(AND($M$65="Oval",$CL$11=0.15),GN97,IF(AND($M$65="Oval",$CL$11=0.225),GN97,IF(AND($M$65="Oval",$CL$11=0.35),GN97,IF(AND($M$65="Oval",$CL$11=0.55),GN97,IF(AND($M$65="Oval",$CL$11=0.7),GJ97,IF(AND($M$65="Oval",$CL$11=0.9),GJ97,"")))))))))</f>
        <v>0</v>
      </c>
      <c r="GU97" s="51">
        <f>IF(MAX(GQ$5:GR$104)&lt;0.5,GQ97*2,GQ97)</f>
        <v>0</v>
      </c>
      <c r="GV97" s="51">
        <f>IF(MAX(GQ$5:GR$104)&lt;0.5,GR97*2,GR97)</f>
        <v>0</v>
      </c>
      <c r="GY97" s="51">
        <f>IF(AND(GU97=0,GV97=0),GY96,GU97+(0.5*(1-MAX(GU$5:GU$104))))</f>
        <v>0.5</v>
      </c>
      <c r="GZ97" s="51">
        <f>IF(AND(GU97=0,GV97=0),GZ96,GV97+(0.5*(1-MAX(GV$5:GV$104))))</f>
        <v>0.21600000000000003</v>
      </c>
    </row>
    <row r="98" spans="2:208">
      <c r="B98" s="9"/>
      <c r="C98" s="10"/>
      <c r="D98" s="10"/>
      <c r="E98" s="10"/>
      <c r="F98" s="11"/>
      <c r="G98" s="70"/>
      <c r="H98" s="37"/>
      <c r="I98" s="37"/>
      <c r="J98" s="37"/>
      <c r="K98" s="37"/>
      <c r="L98" s="37"/>
      <c r="M98" s="37"/>
      <c r="N98" s="37"/>
      <c r="O98" s="37"/>
      <c r="P98" s="37"/>
      <c r="Q98" s="37"/>
      <c r="R98" s="37"/>
      <c r="S98" s="37"/>
      <c r="T98" s="37"/>
      <c r="U98" s="41"/>
      <c r="V98" s="41"/>
      <c r="W98" s="41"/>
      <c r="X98" s="41"/>
      <c r="Y98" s="41"/>
      <c r="Z98" s="41"/>
      <c r="AA98" s="41"/>
      <c r="AB98" s="41"/>
      <c r="AC98" s="41"/>
      <c r="AD98" s="41"/>
      <c r="AE98" s="67"/>
      <c r="AF98" s="42"/>
      <c r="AG98" s="41"/>
      <c r="AH98" s="41"/>
      <c r="AI98" s="41"/>
      <c r="AJ98" s="43"/>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33"/>
      <c r="CH98" s="33">
        <v>16</v>
      </c>
      <c r="CI98" s="33">
        <f t="shared" si="37"/>
        <v>49.111111111111114</v>
      </c>
      <c r="CJ98" s="33">
        <f t="shared" si="38"/>
        <v>15.039813306885133</v>
      </c>
      <c r="CK98" s="33">
        <f t="shared" si="39"/>
        <v>0</v>
      </c>
      <c r="CL98" s="29">
        <v>15</v>
      </c>
      <c r="CN98" s="33">
        <v>16</v>
      </c>
      <c r="CO98" s="33">
        <f t="shared" si="40"/>
        <v>61.388888888888893</v>
      </c>
      <c r="CP98" s="33">
        <f t="shared" si="41"/>
        <v>40.883547059597404</v>
      </c>
      <c r="CQ98" s="33">
        <f t="shared" si="42"/>
        <v>0</v>
      </c>
      <c r="CR98" s="29">
        <v>15</v>
      </c>
      <c r="CT98" s="33">
        <v>16</v>
      </c>
      <c r="CU98" s="33">
        <f t="shared" si="43"/>
        <v>89.0138888888889</v>
      </c>
      <c r="CV98" s="33">
        <f t="shared" si="44"/>
        <v>82.98340936805252</v>
      </c>
      <c r="CW98" s="33">
        <f t="shared" si="45"/>
        <v>0</v>
      </c>
      <c r="CX98" s="29">
        <v>15</v>
      </c>
      <c r="CZ98" s="33">
        <v>16</v>
      </c>
      <c r="DA98" s="33">
        <f t="shared" si="46"/>
        <v>128.91666666666669</v>
      </c>
      <c r="DB98" s="33">
        <f t="shared" si="47"/>
        <v>169.48389497284728</v>
      </c>
      <c r="DC98" s="33">
        <f t="shared" si="48"/>
        <v>40.567228306180596</v>
      </c>
      <c r="DD98" s="29">
        <v>15</v>
      </c>
      <c r="DF98" s="60">
        <v>16</v>
      </c>
      <c r="DG98" s="60">
        <f t="shared" si="49"/>
        <v>221</v>
      </c>
      <c r="DH98" s="60">
        <f t="shared" si="50"/>
        <v>295.52136366648534</v>
      </c>
      <c r="DI98" s="60">
        <f t="shared" si="51"/>
        <v>74.521363666485342</v>
      </c>
      <c r="DJ98" s="51">
        <v>15</v>
      </c>
      <c r="DL98" s="60">
        <v>16</v>
      </c>
      <c r="DM98" s="60">
        <f t="shared" si="52"/>
        <v>349.91666666666669</v>
      </c>
      <c r="DN98" s="60" t="e">
        <f t="shared" si="53"/>
        <v>#VALUE!</v>
      </c>
      <c r="DO98" s="60" t="e">
        <f t="shared" si="54"/>
        <v>#VALUE!</v>
      </c>
      <c r="DP98" s="51">
        <v>15</v>
      </c>
      <c r="FF98" s="29">
        <v>94</v>
      </c>
      <c r="FG98" s="29">
        <f t="shared" si="35"/>
        <v>5.9061941887488105</v>
      </c>
      <c r="FH98" s="29">
        <f>($P$20/2000)*SIN(FG98)+($P$20/2000)</f>
        <v>0.15796886182883033</v>
      </c>
      <c r="FI98" s="29">
        <f>($P$20/2000)*COS(FG98)+$P$20/2000</f>
        <v>0.48244412147206278</v>
      </c>
      <c r="FL98" s="29">
        <f>IF($P$19="Hexagon",EU98,IF(OR($P$19="Kerbdrain150",$P$19="Kerbdrain280"),FA98,IF(OR($P$19="Channel100",$P$19="Channel150",$P$19="Channel200",$P$19="Channel430"),EW98,IF(AND($P$19="Oval",$CJ$11=0.15),FH98,IF(AND($P$19="Oval",$CJ$11=0.225),FH98,IF(AND($P$19="Oval",$CJ$11=0.35),FH98,IF(AND($P$19="Oval",$CJ$11=0.55),FH98,IF(AND($P$19="Oval",$CJ$11=0.7),FD98,IF(AND($P$19="Oval",$CJ$11=0.9),FD98,"")))))))))</f>
        <v>0</v>
      </c>
      <c r="FM98" s="29">
        <f>IF($P$19="Hexagon",EV98,IF(OR($P$19="Kerbdrain150",$P$19="Kerbdrain280"),FB98,IF(OR($P$19="Channel100",$P$19="Channel150",$P$19="Channel200",$P$19="Channel430"),EX98,IF(AND($P$19="Oval",$CJ$11=0.15),FI98,IF(AND($P$19="Oval",$CJ$11=0.225),FI98,IF(AND($P$19="Oval",$CJ$11=0.35),FI98,IF(AND($P$19="Oval",$CJ$11=0.55),FI98,IF(AND($P$19="Oval",$CJ$11=0.7),FE98,IF(AND($P$19="Oval",$CJ$11=0.9),FE98,"")))))))))</f>
        <v>0</v>
      </c>
      <c r="FP98" s="29">
        <f>IF(MAX(FL$5:FM$104)&lt;0.5,FL98*2,FL98)</f>
        <v>0</v>
      </c>
      <c r="FQ98" s="29">
        <f>IF(MAX(FL$5:FM$104)&lt;0.5,FM98*2,FM98)</f>
        <v>0</v>
      </c>
      <c r="FT98" s="29">
        <f>IF(AND(FP98=0,FQ98=0),FT97,FP98+(0.5*(1-MAX(FP$5:FP$104))))</f>
        <v>0.5</v>
      </c>
      <c r="FU98" s="29">
        <f>IF(AND(FP98=0,FQ98=0),FU97,FQ98+(0.5*(1-MAX(FQ$5:FQ$104))))</f>
        <v>0.21600000000000003</v>
      </c>
      <c r="GK98" s="51">
        <v>94</v>
      </c>
      <c r="GL98" s="51">
        <f t="shared" si="36"/>
        <v>5.9061941887488105</v>
      </c>
      <c r="GM98" s="51">
        <f>($M$66/2000)*SIN(GL98)+($M$66/2000)</f>
        <v>0.15796886182883033</v>
      </c>
      <c r="GN98" s="51">
        <f>($M$66/2000)*COS(GL98)+$M$66/2000</f>
        <v>0.48244412147206278</v>
      </c>
      <c r="GQ98" s="51">
        <f>IF($M$65="Hexagon",FZ98,IF(OR($M$65="Kerbdrain150",$M$65="Kerbdrain280"),GF98,IF(OR($M$65="Channel100",$M$65="Channel150",$M$65="Channel200",$M$65="Channel430"),GB98,IF(AND($M$65="Oval",$CL$11=0.15),GM98,IF(AND($M$65="Oval",$CL$11=0.225),GM98,IF(AND($M$65="Oval",$CL$11=0.35),GM98,IF(AND($M$65="Oval",$CL$11=0.55),GM98,IF(AND($M$65="Oval",$CL$11=0.7),GI98,IF(AND($M$65="Oval",$CL$11=0.9),GI98,"")))))))))</f>
        <v>0</v>
      </c>
      <c r="GR98" s="51">
        <f>IF($M$65="Hexagon",GA98,IF(OR($M$65="Kerbdrain150",$M$65="Kerbdrain280"),GG98,IF(OR($M$65="Channel100",$M$65="Channel150",$M$65="Channel200",$M$65="Channel430"),GC98,IF(AND($M$65="Oval",$CL$11=0.15),GN98,IF(AND($M$65="Oval",$CL$11=0.225),GN98,IF(AND($M$65="Oval",$CL$11=0.35),GN98,IF(AND($M$65="Oval",$CL$11=0.55),GN98,IF(AND($M$65="Oval",$CL$11=0.7),GJ98,IF(AND($M$65="Oval",$CL$11=0.9),GJ98,"")))))))))</f>
        <v>0</v>
      </c>
      <c r="GU98" s="51">
        <f>IF(MAX(GQ$5:GR$104)&lt;0.5,GQ98*2,GQ98)</f>
        <v>0</v>
      </c>
      <c r="GV98" s="51">
        <f>IF(MAX(GQ$5:GR$104)&lt;0.5,GR98*2,GR98)</f>
        <v>0</v>
      </c>
      <c r="GY98" s="51">
        <f>IF(AND(GU98=0,GV98=0),GY97,GU98+(0.5*(1-MAX(GU$5:GU$104))))</f>
        <v>0.5</v>
      </c>
      <c r="GZ98" s="51">
        <f>IF(AND(GU98=0,GV98=0),GZ97,GV98+(0.5*(1-MAX(GV$5:GV$104))))</f>
        <v>0.21600000000000003</v>
      </c>
    </row>
    <row r="99" spans="2:208">
      <c r="B99" s="9"/>
      <c r="C99" s="10"/>
      <c r="D99" s="10"/>
      <c r="E99" s="10"/>
      <c r="F99" s="11"/>
      <c r="G99" s="70"/>
      <c r="H99" s="37"/>
      <c r="I99" s="37"/>
      <c r="J99" s="37"/>
      <c r="K99" s="37"/>
      <c r="L99" s="37"/>
      <c r="M99" s="37"/>
      <c r="N99" s="37"/>
      <c r="O99" s="37"/>
      <c r="P99" s="37"/>
      <c r="Q99" s="37"/>
      <c r="R99" s="37"/>
      <c r="S99" s="37"/>
      <c r="T99" s="37"/>
      <c r="U99" s="41"/>
      <c r="V99" s="41"/>
      <c r="W99" s="41"/>
      <c r="X99" s="41"/>
      <c r="Y99" s="41"/>
      <c r="Z99" s="41"/>
      <c r="AA99" s="41"/>
      <c r="AB99" s="41"/>
      <c r="AC99" s="41"/>
      <c r="AD99" s="41"/>
      <c r="AE99" s="67"/>
      <c r="AF99" s="42"/>
      <c r="AG99" s="41"/>
      <c r="AH99" s="41"/>
      <c r="AI99" s="41"/>
      <c r="AJ99" s="43"/>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33"/>
      <c r="CH99" s="33">
        <v>17</v>
      </c>
      <c r="CI99" s="33">
        <f t="shared" si="37"/>
        <v>52.180555555555557</v>
      </c>
      <c r="CJ99" s="33">
        <f t="shared" si="38"/>
        <v>15.090769186223124</v>
      </c>
      <c r="CK99" s="33">
        <f t="shared" si="39"/>
        <v>0</v>
      </c>
      <c r="CL99" s="29">
        <v>16</v>
      </c>
      <c r="CN99" s="33">
        <v>17</v>
      </c>
      <c r="CO99" s="33">
        <f t="shared" si="40"/>
        <v>64.458333333333343</v>
      </c>
      <c r="CP99" s="33">
        <f t="shared" si="41"/>
        <v>40.976511664833538</v>
      </c>
      <c r="CQ99" s="33">
        <f t="shared" si="42"/>
        <v>0</v>
      </c>
      <c r="CR99" s="29">
        <v>16</v>
      </c>
      <c r="CT99" s="33">
        <v>17</v>
      </c>
      <c r="CU99" s="33">
        <f t="shared" si="43"/>
        <v>92.083333333333343</v>
      </c>
      <c r="CV99" s="33">
        <f t="shared" si="44"/>
        <v>83.12540767555727</v>
      </c>
      <c r="CW99" s="33">
        <f t="shared" si="45"/>
        <v>0</v>
      </c>
      <c r="CX99" s="29">
        <v>16</v>
      </c>
      <c r="CZ99" s="33">
        <v>17</v>
      </c>
      <c r="DA99" s="33">
        <f t="shared" si="46"/>
        <v>131.98611111111111</v>
      </c>
      <c r="DB99" s="33">
        <f t="shared" si="47"/>
        <v>169.70227247897674</v>
      </c>
      <c r="DC99" s="33">
        <f t="shared" si="48"/>
        <v>37.716161367865624</v>
      </c>
      <c r="DD99" s="29">
        <v>16</v>
      </c>
      <c r="DF99" s="60">
        <v>17</v>
      </c>
      <c r="DG99" s="60">
        <f t="shared" si="49"/>
        <v>224.06944444444446</v>
      </c>
      <c r="DH99" s="60">
        <f t="shared" si="50"/>
        <v>295.82565585285596</v>
      </c>
      <c r="DI99" s="60">
        <f t="shared" si="51"/>
        <v>71.756211408411502</v>
      </c>
      <c r="DJ99" s="51">
        <v>16</v>
      </c>
      <c r="DL99" s="60">
        <v>17</v>
      </c>
      <c r="DM99" s="60">
        <f t="shared" si="52"/>
        <v>352.98611111111114</v>
      </c>
      <c r="DN99" s="60" t="e">
        <f t="shared" si="53"/>
        <v>#VALUE!</v>
      </c>
      <c r="DO99" s="60" t="e">
        <f t="shared" si="54"/>
        <v>#VALUE!</v>
      </c>
      <c r="DP99" s="51">
        <v>16</v>
      </c>
      <c r="EG99" s="29" t="s">
        <v>36</v>
      </c>
      <c r="EH99" s="29" t="s">
        <v>16</v>
      </c>
      <c r="EI99" s="29" t="s">
        <v>37</v>
      </c>
      <c r="EJ99" s="29"/>
      <c r="EK99" s="29"/>
      <c r="EL99" s="29"/>
      <c r="EM99" s="29"/>
      <c r="EN99" s="29"/>
      <c r="EO99" s="29"/>
      <c r="FF99" s="29">
        <v>95</v>
      </c>
      <c r="FG99" s="29">
        <f t="shared" si="35"/>
        <v>5.9690260418206069</v>
      </c>
      <c r="FH99" s="29">
        <f>($P$20/2000)*SIN(FG99)+($P$20/2000)</f>
        <v>0.17274575140626308</v>
      </c>
      <c r="FI99" s="29">
        <f>($P$20/2000)*COS(FG99)+$P$20/2000</f>
        <v>0.48776412907378841</v>
      </c>
      <c r="FL99" s="29">
        <f>IF($P$19="Hexagon",EU99,IF(OR($P$19="Kerbdrain150",$P$19="Kerbdrain280"),FA99,IF(OR($P$19="Channel100",$P$19="Channel150",$P$19="Channel200",$P$19="Channel430"),EW99,IF(AND($P$19="Oval",$CJ$11=0.15),FH99,IF(AND($P$19="Oval",$CJ$11=0.225),FH99,IF(AND($P$19="Oval",$CJ$11=0.35),FH99,IF(AND($P$19="Oval",$CJ$11=0.55),FH99,IF(AND($P$19="Oval",$CJ$11=0.7),FD99,IF(AND($P$19="Oval",$CJ$11=0.9),FD99,"")))))))))</f>
        <v>0</v>
      </c>
      <c r="FM99" s="29">
        <f>IF($P$19="Hexagon",EV99,IF(OR($P$19="Kerbdrain150",$P$19="Kerbdrain280"),FB99,IF(OR($P$19="Channel100",$P$19="Channel150",$P$19="Channel200",$P$19="Channel430"),EX99,IF(AND($P$19="Oval",$CJ$11=0.15),FI99,IF(AND($P$19="Oval",$CJ$11=0.225),FI99,IF(AND($P$19="Oval",$CJ$11=0.35),FI99,IF(AND($P$19="Oval",$CJ$11=0.55),FI99,IF(AND($P$19="Oval",$CJ$11=0.7),FE99,IF(AND($P$19="Oval",$CJ$11=0.9),FE99,"")))))))))</f>
        <v>0</v>
      </c>
      <c r="FP99" s="29">
        <f>IF(MAX(FL$5:FM$104)&lt;0.5,FL99*2,FL99)</f>
        <v>0</v>
      </c>
      <c r="FQ99" s="29">
        <f>IF(MAX(FL$5:FM$104)&lt;0.5,FM99*2,FM99)</f>
        <v>0</v>
      </c>
      <c r="FT99" s="29">
        <f>IF(AND(FP99=0,FQ99=0),FT98,FP99+(0.5*(1-MAX(FP$5:FP$104))))</f>
        <v>0.5</v>
      </c>
      <c r="FU99" s="29">
        <f>IF(AND(FP99=0,FQ99=0),FU98,FQ99+(0.5*(1-MAX(FQ$5:FQ$104))))</f>
        <v>0.21600000000000003</v>
      </c>
      <c r="GK99" s="51">
        <v>95</v>
      </c>
      <c r="GL99" s="51">
        <f t="shared" si="36"/>
        <v>5.9690260418206069</v>
      </c>
      <c r="GM99" s="51">
        <f>($M$66/2000)*SIN(GL99)+($M$66/2000)</f>
        <v>0.17274575140626308</v>
      </c>
      <c r="GN99" s="51">
        <f>($M$66/2000)*COS(GL99)+$M$66/2000</f>
        <v>0.48776412907378841</v>
      </c>
      <c r="GQ99" s="51">
        <f>IF($M$65="Hexagon",FZ99,IF(OR($M$65="Kerbdrain150",$M$65="Kerbdrain280"),GF99,IF(OR($M$65="Channel100",$M$65="Channel150",$M$65="Channel200",$M$65="Channel430"),GB99,IF(AND($M$65="Oval",$CL$11=0.15),GM99,IF(AND($M$65="Oval",$CL$11=0.225),GM99,IF(AND($M$65="Oval",$CL$11=0.35),GM99,IF(AND($M$65="Oval",$CL$11=0.55),GM99,IF(AND($M$65="Oval",$CL$11=0.7),GI99,IF(AND($M$65="Oval",$CL$11=0.9),GI99,"")))))))))</f>
        <v>0</v>
      </c>
      <c r="GR99" s="51">
        <f>IF($M$65="Hexagon",GA99,IF(OR($M$65="Kerbdrain150",$M$65="Kerbdrain280"),GG99,IF(OR($M$65="Channel100",$M$65="Channel150",$M$65="Channel200",$M$65="Channel430"),GC99,IF(AND($M$65="Oval",$CL$11=0.15),GN99,IF(AND($M$65="Oval",$CL$11=0.225),GN99,IF(AND($M$65="Oval",$CL$11=0.35),GN99,IF(AND($M$65="Oval",$CL$11=0.55),GN99,IF(AND($M$65="Oval",$CL$11=0.7),GJ99,IF(AND($M$65="Oval",$CL$11=0.9),GJ99,"")))))))))</f>
        <v>0</v>
      </c>
      <c r="GU99" s="51">
        <f>IF(MAX(GQ$5:GR$104)&lt;0.5,GQ99*2,GQ99)</f>
        <v>0</v>
      </c>
      <c r="GV99" s="51">
        <f>IF(MAX(GQ$5:GR$104)&lt;0.5,GR99*2,GR99)</f>
        <v>0</v>
      </c>
      <c r="GY99" s="51">
        <f>IF(AND(GU99=0,GV99=0),GY98,GU99+(0.5*(1-MAX(GU$5:GU$104))))</f>
        <v>0.5</v>
      </c>
      <c r="GZ99" s="51">
        <f>IF(AND(GU99=0,GV99=0),GZ98,GV99+(0.5*(1-MAX(GV$5:GV$104))))</f>
        <v>0.21600000000000003</v>
      </c>
    </row>
    <row r="100" spans="2:208">
      <c r="B100" s="9"/>
      <c r="C100" s="10"/>
      <c r="D100" s="10"/>
      <c r="E100" s="10"/>
      <c r="F100" s="11"/>
      <c r="G100" s="70"/>
      <c r="H100" s="37"/>
      <c r="I100" s="37"/>
      <c r="J100" s="37"/>
      <c r="K100" s="37"/>
      <c r="L100" s="37"/>
      <c r="M100" s="37"/>
      <c r="N100" s="37"/>
      <c r="O100" s="37"/>
      <c r="P100" s="37"/>
      <c r="Q100" s="37"/>
      <c r="R100" s="37"/>
      <c r="S100" s="37"/>
      <c r="T100" s="37"/>
      <c r="U100" s="41"/>
      <c r="V100" s="41"/>
      <c r="W100" s="41"/>
      <c r="X100" s="41"/>
      <c r="Y100" s="41"/>
      <c r="Z100" s="41"/>
      <c r="AA100" s="41"/>
      <c r="AB100" s="41"/>
      <c r="AC100" s="41"/>
      <c r="AD100" s="41"/>
      <c r="AE100" s="67"/>
      <c r="AF100" s="42"/>
      <c r="AG100" s="41"/>
      <c r="AH100" s="41"/>
      <c r="AI100" s="41"/>
      <c r="AJ100" s="43"/>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33"/>
      <c r="CH100" s="33">
        <v>18</v>
      </c>
      <c r="CI100" s="33">
        <f t="shared" si="37"/>
        <v>55.25</v>
      </c>
      <c r="CJ100" s="33">
        <f t="shared" si="38"/>
        <v>15.141725065561117</v>
      </c>
      <c r="CK100" s="33">
        <f t="shared" si="39"/>
        <v>0</v>
      </c>
      <c r="CL100" s="29">
        <v>17</v>
      </c>
      <c r="CN100" s="33">
        <v>18</v>
      </c>
      <c r="CO100" s="33">
        <f t="shared" si="40"/>
        <v>67.527777777777786</v>
      </c>
      <c r="CP100" s="33">
        <f t="shared" si="41"/>
        <v>41.069476270069678</v>
      </c>
      <c r="CQ100" s="33">
        <f t="shared" si="42"/>
        <v>0</v>
      </c>
      <c r="CR100" s="29">
        <v>17</v>
      </c>
      <c r="CT100" s="33">
        <v>18</v>
      </c>
      <c r="CU100" s="33">
        <f t="shared" si="43"/>
        <v>95.152777777777786</v>
      </c>
      <c r="CV100" s="33">
        <f t="shared" si="44"/>
        <v>83.267405983062048</v>
      </c>
      <c r="CW100" s="33">
        <f t="shared" si="45"/>
        <v>0</v>
      </c>
      <c r="CX100" s="29">
        <v>17</v>
      </c>
      <c r="CZ100" s="33">
        <v>18</v>
      </c>
      <c r="DA100" s="33">
        <f t="shared" si="46"/>
        <v>135.05555555555557</v>
      </c>
      <c r="DB100" s="33">
        <f t="shared" si="47"/>
        <v>169.92064998510619</v>
      </c>
      <c r="DC100" s="33">
        <f t="shared" si="48"/>
        <v>34.865094429550624</v>
      </c>
      <c r="DD100" s="29">
        <v>17</v>
      </c>
      <c r="DF100" s="60">
        <v>18</v>
      </c>
      <c r="DG100" s="60">
        <f t="shared" si="49"/>
        <v>227.13888888888891</v>
      </c>
      <c r="DH100" s="60">
        <f t="shared" si="50"/>
        <v>296.12994803922658</v>
      </c>
      <c r="DI100" s="60">
        <f t="shared" si="51"/>
        <v>68.991059150337662</v>
      </c>
      <c r="DJ100" s="51">
        <v>17</v>
      </c>
      <c r="DL100" s="60">
        <v>18</v>
      </c>
      <c r="DM100" s="60">
        <f t="shared" si="52"/>
        <v>356.0555555555556</v>
      </c>
      <c r="DN100" s="60" t="e">
        <f t="shared" si="53"/>
        <v>#VALUE!</v>
      </c>
      <c r="DO100" s="60" t="e">
        <f t="shared" si="54"/>
        <v>#VALUE!</v>
      </c>
      <c r="DP100" s="51">
        <v>17</v>
      </c>
      <c r="EG100" s="29"/>
      <c r="EH100" s="29"/>
      <c r="EI100" s="29">
        <v>5</v>
      </c>
      <c r="EJ100" s="29">
        <v>10</v>
      </c>
      <c r="EK100" s="29">
        <v>15</v>
      </c>
      <c r="EL100" s="29">
        <v>30</v>
      </c>
      <c r="EM100" s="29">
        <v>45</v>
      </c>
      <c r="EN100" s="29">
        <v>60</v>
      </c>
      <c r="EO100" s="29">
        <v>120</v>
      </c>
      <c r="EP100" s="29">
        <v>240</v>
      </c>
      <c r="EQ100" s="29">
        <v>480</v>
      </c>
      <c r="FF100" s="29">
        <v>96</v>
      </c>
      <c r="FG100" s="29">
        <f t="shared" si="35"/>
        <v>6.0318578948924024</v>
      </c>
      <c r="FH100" s="29">
        <f>($P$20/2000)*SIN(FG100)+($P$20/2000)</f>
        <v>0.18782752820878618</v>
      </c>
      <c r="FI100" s="29">
        <f>($P$20/2000)*COS(FG100)+$P$20/2000</f>
        <v>0.49214579028215777</v>
      </c>
      <c r="FL100" s="29">
        <f>IF($P$19="Hexagon",EU100,IF(OR($P$19="Kerbdrain150",$P$19="Kerbdrain280"),FA100,IF(OR($P$19="Channel100",$P$19="Channel150",$P$19="Channel200",$P$19="Channel430"),EW100,IF(AND($P$19="Oval",$CJ$11=0.15),FH100,IF(AND($P$19="Oval",$CJ$11=0.225),FH100,IF(AND($P$19="Oval",$CJ$11=0.35),FH100,IF(AND($P$19="Oval",$CJ$11=0.55),FH100,IF(AND($P$19="Oval",$CJ$11=0.7),FD100,IF(AND($P$19="Oval",$CJ$11=0.9),FD100,"")))))))))</f>
        <v>0</v>
      </c>
      <c r="FM100" s="29">
        <f>IF($P$19="Hexagon",EV100,IF(OR($P$19="Kerbdrain150",$P$19="Kerbdrain280"),FB100,IF(OR($P$19="Channel100",$P$19="Channel150",$P$19="Channel200",$P$19="Channel430"),EX100,IF(AND($P$19="Oval",$CJ$11=0.15),FI100,IF(AND($P$19="Oval",$CJ$11=0.225),FI100,IF(AND($P$19="Oval",$CJ$11=0.35),FI100,IF(AND($P$19="Oval",$CJ$11=0.55),FI100,IF(AND($P$19="Oval",$CJ$11=0.7),FE100,IF(AND($P$19="Oval",$CJ$11=0.9),FE100,"")))))))))</f>
        <v>0</v>
      </c>
      <c r="FP100" s="29">
        <f>IF(MAX(FL$5:FM$104)&lt;0.5,FL100*2,FL100)</f>
        <v>0</v>
      </c>
      <c r="FQ100" s="29">
        <f>IF(MAX(FL$5:FM$104)&lt;0.5,FM100*2,FM100)</f>
        <v>0</v>
      </c>
      <c r="FT100" s="29">
        <f>IF(AND(FP100=0,FQ100=0),FT99,FP100+(0.5*(1-MAX(FP$5:FP$104))))</f>
        <v>0.5</v>
      </c>
      <c r="FU100" s="29">
        <f>IF(AND(FP100=0,FQ100=0),FU99,FQ100+(0.5*(1-MAX(FQ$5:FQ$104))))</f>
        <v>0.21600000000000003</v>
      </c>
      <c r="GK100" s="51">
        <v>96</v>
      </c>
      <c r="GL100" s="51">
        <f t="shared" si="36"/>
        <v>6.0318578948924024</v>
      </c>
      <c r="GM100" s="51">
        <f>($M$66/2000)*SIN(GL100)+($M$66/2000)</f>
        <v>0.18782752820878618</v>
      </c>
      <c r="GN100" s="51">
        <f>($M$66/2000)*COS(GL100)+$M$66/2000</f>
        <v>0.49214579028215777</v>
      </c>
      <c r="GQ100" s="51">
        <f>IF($M$65="Hexagon",FZ100,IF(OR($M$65="Kerbdrain150",$M$65="Kerbdrain280"),GF100,IF(OR($M$65="Channel100",$M$65="Channel150",$M$65="Channel200",$M$65="Channel430"),GB100,IF(AND($M$65="Oval",$CL$11=0.15),GM100,IF(AND($M$65="Oval",$CL$11=0.225),GM100,IF(AND($M$65="Oval",$CL$11=0.35),GM100,IF(AND($M$65="Oval",$CL$11=0.55),GM100,IF(AND($M$65="Oval",$CL$11=0.7),GI100,IF(AND($M$65="Oval",$CL$11=0.9),GI100,"")))))))))</f>
        <v>0</v>
      </c>
      <c r="GR100" s="51">
        <f>IF($M$65="Hexagon",GA100,IF(OR($M$65="Kerbdrain150",$M$65="Kerbdrain280"),GG100,IF(OR($M$65="Channel100",$M$65="Channel150",$M$65="Channel200",$M$65="Channel430"),GC100,IF(AND($M$65="Oval",$CL$11=0.15),GN100,IF(AND($M$65="Oval",$CL$11=0.225),GN100,IF(AND($M$65="Oval",$CL$11=0.35),GN100,IF(AND($M$65="Oval",$CL$11=0.55),GN100,IF(AND($M$65="Oval",$CL$11=0.7),GJ100,IF(AND($M$65="Oval",$CL$11=0.9),GJ100,"")))))))))</f>
        <v>0</v>
      </c>
      <c r="GU100" s="51">
        <f>IF(MAX(GQ$5:GR$104)&lt;0.5,GQ100*2,GQ100)</f>
        <v>0</v>
      </c>
      <c r="GV100" s="51">
        <f>IF(MAX(GQ$5:GR$104)&lt;0.5,GR100*2,GR100)</f>
        <v>0</v>
      </c>
      <c r="GY100" s="51">
        <f>IF(AND(GU100=0,GV100=0),GY99,GU100+(0.5*(1-MAX(GU$5:GU$104))))</f>
        <v>0.5</v>
      </c>
      <c r="GZ100" s="51">
        <f>IF(AND(GU100=0,GV100=0),GZ99,GV100+(0.5*(1-MAX(GV$5:GV$104))))</f>
        <v>0.21600000000000003</v>
      </c>
    </row>
    <row r="101" spans="2:208">
      <c r="B101" s="9"/>
      <c r="C101" s="10"/>
      <c r="D101" s="10"/>
      <c r="E101" s="10"/>
      <c r="F101" s="11"/>
      <c r="G101" s="70"/>
      <c r="H101" s="37"/>
      <c r="I101" s="37"/>
      <c r="J101" s="37"/>
      <c r="K101" s="37"/>
      <c r="L101" s="37"/>
      <c r="M101" s="37"/>
      <c r="N101" s="37"/>
      <c r="O101" s="37"/>
      <c r="P101" s="37"/>
      <c r="Q101" s="37"/>
      <c r="R101" s="37"/>
      <c r="S101" s="37"/>
      <c r="T101" s="37"/>
      <c r="U101" s="41"/>
      <c r="V101" s="41"/>
      <c r="W101" s="41"/>
      <c r="X101" s="41"/>
      <c r="Y101" s="41"/>
      <c r="Z101" s="41"/>
      <c r="AA101" s="41"/>
      <c r="AB101" s="41"/>
      <c r="AC101" s="41"/>
      <c r="AD101" s="41"/>
      <c r="AE101" s="67"/>
      <c r="AF101" s="42"/>
      <c r="AG101" s="41"/>
      <c r="AH101" s="41"/>
      <c r="AI101" s="41"/>
      <c r="AJ101" s="43"/>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33"/>
      <c r="CH101" s="33">
        <v>19</v>
      </c>
      <c r="CI101" s="33">
        <f t="shared" si="37"/>
        <v>58.31944444444445</v>
      </c>
      <c r="CJ101" s="33">
        <f t="shared" si="38"/>
        <v>15.192680944899109</v>
      </c>
      <c r="CK101" s="33">
        <f t="shared" si="39"/>
        <v>0</v>
      </c>
      <c r="CL101" s="29">
        <v>18</v>
      </c>
      <c r="CN101" s="33">
        <v>19</v>
      </c>
      <c r="CO101" s="33">
        <f t="shared" si="40"/>
        <v>70.597222222222229</v>
      </c>
      <c r="CP101" s="33">
        <f t="shared" si="41"/>
        <v>41.162440875305812</v>
      </c>
      <c r="CQ101" s="33">
        <f t="shared" si="42"/>
        <v>0</v>
      </c>
      <c r="CR101" s="29">
        <v>18</v>
      </c>
      <c r="CT101" s="33">
        <v>19</v>
      </c>
      <c r="CU101" s="33">
        <f t="shared" si="43"/>
        <v>98.222222222222229</v>
      </c>
      <c r="CV101" s="33">
        <f t="shared" si="44"/>
        <v>83.409404290566812</v>
      </c>
      <c r="CW101" s="33">
        <f t="shared" si="45"/>
        <v>0</v>
      </c>
      <c r="CX101" s="29">
        <v>18</v>
      </c>
      <c r="CZ101" s="33">
        <v>19</v>
      </c>
      <c r="DA101" s="33">
        <f t="shared" si="46"/>
        <v>138.125</v>
      </c>
      <c r="DB101" s="33">
        <f t="shared" si="47"/>
        <v>170.13902749123562</v>
      </c>
      <c r="DC101" s="33">
        <f t="shared" si="48"/>
        <v>32.014027491235623</v>
      </c>
      <c r="DD101" s="29">
        <v>18</v>
      </c>
      <c r="DF101" s="60">
        <v>19</v>
      </c>
      <c r="DG101" s="60">
        <f t="shared" si="49"/>
        <v>230.20833333333334</v>
      </c>
      <c r="DH101" s="60">
        <f t="shared" si="50"/>
        <v>296.43424022559725</v>
      </c>
      <c r="DI101" s="60">
        <f t="shared" si="51"/>
        <v>66.225906892263907</v>
      </c>
      <c r="DJ101" s="51">
        <v>18</v>
      </c>
      <c r="DL101" s="60">
        <v>19</v>
      </c>
      <c r="DM101" s="60">
        <f t="shared" si="52"/>
        <v>359.125</v>
      </c>
      <c r="DN101" s="60" t="e">
        <f t="shared" si="53"/>
        <v>#VALUE!</v>
      </c>
      <c r="DO101" s="60" t="e">
        <f t="shared" si="54"/>
        <v>#VALUE!</v>
      </c>
      <c r="DP101" s="51">
        <v>18</v>
      </c>
      <c r="EG101" s="29" t="s">
        <v>38</v>
      </c>
      <c r="EH101" s="29">
        <v>1</v>
      </c>
      <c r="EI101" s="29">
        <v>34.4</v>
      </c>
      <c r="EJ101" s="29">
        <v>25.7</v>
      </c>
      <c r="EK101" s="29">
        <v>21.2</v>
      </c>
      <c r="EL101" s="29">
        <v>15</v>
      </c>
      <c r="EM101" s="29">
        <v>12.2</v>
      </c>
      <c r="EN101" s="29">
        <v>10.6</v>
      </c>
      <c r="EO101" s="29">
        <v>7.5</v>
      </c>
      <c r="EP101" s="29">
        <v>5.3</v>
      </c>
      <c r="EQ101" s="29">
        <v>4</v>
      </c>
      <c r="FF101" s="29">
        <v>97</v>
      </c>
      <c r="FG101" s="29">
        <f t="shared" si="35"/>
        <v>6.0946897479641988</v>
      </c>
      <c r="FH101" s="29">
        <f>($P$20/2000)*SIN(FG101)+($P$20/2000)</f>
        <v>0.20315467135356882</v>
      </c>
      <c r="FI101" s="29">
        <f>($P$20/2000)*COS(FG101)+$P$20/2000</f>
        <v>0.49557181268217221</v>
      </c>
      <c r="FL101" s="29">
        <f>IF($P$19="Hexagon",EU101,IF(OR($P$19="Kerbdrain150",$P$19="Kerbdrain280"),FA101,IF(OR($P$19="Channel100",$P$19="Channel150",$P$19="Channel200",$P$19="Channel430"),EW101,IF(AND($P$19="Oval",$CJ$11=0.15),FH101,IF(AND($P$19="Oval",$CJ$11=0.225),FH101,IF(AND($P$19="Oval",$CJ$11=0.35),FH101,IF(AND($P$19="Oval",$CJ$11=0.55),FH101,IF(AND($P$19="Oval",$CJ$11=0.7),FD101,IF(AND($P$19="Oval",$CJ$11=0.9),FD101,"")))))))))</f>
        <v>0</v>
      </c>
      <c r="FM101" s="29">
        <f>IF($P$19="Hexagon",EV101,IF(OR($P$19="Kerbdrain150",$P$19="Kerbdrain280"),FB101,IF(OR($P$19="Channel100",$P$19="Channel150",$P$19="Channel200",$P$19="Channel430"),EX101,IF(AND($P$19="Oval",$CJ$11=0.15),FI101,IF(AND($P$19="Oval",$CJ$11=0.225),FI101,IF(AND($P$19="Oval",$CJ$11=0.35),FI101,IF(AND($P$19="Oval",$CJ$11=0.55),FI101,IF(AND($P$19="Oval",$CJ$11=0.7),FE101,IF(AND($P$19="Oval",$CJ$11=0.9),FE101,"")))))))))</f>
        <v>0</v>
      </c>
      <c r="FP101" s="29">
        <f>IF(MAX(FL$5:FM$104)&lt;0.5,FL101*2,FL101)</f>
        <v>0</v>
      </c>
      <c r="FQ101" s="29">
        <f>IF(MAX(FL$5:FM$104)&lt;0.5,FM101*2,FM101)</f>
        <v>0</v>
      </c>
      <c r="FT101" s="29">
        <f>IF(AND(FP101=0,FQ101=0),FT100,FP101+(0.5*(1-MAX(FP$5:FP$104))))</f>
        <v>0.5</v>
      </c>
      <c r="FU101" s="29">
        <f>IF(AND(FP101=0,FQ101=0),FU100,FQ101+(0.5*(1-MAX(FQ$5:FQ$104))))</f>
        <v>0.21600000000000003</v>
      </c>
      <c r="GK101" s="51">
        <v>97</v>
      </c>
      <c r="GL101" s="51">
        <f t="shared" si="36"/>
        <v>6.0946897479641988</v>
      </c>
      <c r="GM101" s="51">
        <f>($M$66/2000)*SIN(GL101)+($M$66/2000)</f>
        <v>0.20315467135356882</v>
      </c>
      <c r="GN101" s="51">
        <f>($M$66/2000)*COS(GL101)+$M$66/2000</f>
        <v>0.49557181268217221</v>
      </c>
      <c r="GQ101" s="51">
        <f>IF($M$65="Hexagon",FZ101,IF(OR($M$65="Kerbdrain150",$M$65="Kerbdrain280"),GF101,IF(OR($M$65="Channel100",$M$65="Channel150",$M$65="Channel200",$M$65="Channel430"),GB101,IF(AND($M$65="Oval",$CL$11=0.15),GM101,IF(AND($M$65="Oval",$CL$11=0.225),GM101,IF(AND($M$65="Oval",$CL$11=0.35),GM101,IF(AND($M$65="Oval",$CL$11=0.55),GM101,IF(AND($M$65="Oval",$CL$11=0.7),GI101,IF(AND($M$65="Oval",$CL$11=0.9),GI101,"")))))))))</f>
        <v>0</v>
      </c>
      <c r="GR101" s="51">
        <f>IF($M$65="Hexagon",GA101,IF(OR($M$65="Kerbdrain150",$M$65="Kerbdrain280"),GG101,IF(OR($M$65="Channel100",$M$65="Channel150",$M$65="Channel200",$M$65="Channel430"),GC101,IF(AND($M$65="Oval",$CL$11=0.15),GN101,IF(AND($M$65="Oval",$CL$11=0.225),GN101,IF(AND($M$65="Oval",$CL$11=0.35),GN101,IF(AND($M$65="Oval",$CL$11=0.55),GN101,IF(AND($M$65="Oval",$CL$11=0.7),GJ101,IF(AND($M$65="Oval",$CL$11=0.9),GJ101,"")))))))))</f>
        <v>0</v>
      </c>
      <c r="GU101" s="51">
        <f>IF(MAX(GQ$5:GR$104)&lt;0.5,GQ101*2,GQ101)</f>
        <v>0</v>
      </c>
      <c r="GV101" s="51">
        <f>IF(MAX(GQ$5:GR$104)&lt;0.5,GR101*2,GR101)</f>
        <v>0</v>
      </c>
      <c r="GY101" s="51">
        <f>IF(AND(GU101=0,GV101=0),GY100,GU101+(0.5*(1-MAX(GU$5:GU$104))))</f>
        <v>0.5</v>
      </c>
      <c r="GZ101" s="51">
        <f>IF(AND(GU101=0,GV101=0),GZ100,GV101+(0.5*(1-MAX(GV$5:GV$104))))</f>
        <v>0.21600000000000003</v>
      </c>
    </row>
    <row r="102" spans="2:208">
      <c r="B102" s="9"/>
      <c r="C102" s="10"/>
      <c r="D102" s="10"/>
      <c r="E102" s="10"/>
      <c r="F102" s="11"/>
      <c r="G102" s="70"/>
      <c r="H102" s="37"/>
      <c r="I102" s="37"/>
      <c r="J102" s="37"/>
      <c r="K102" s="37"/>
      <c r="L102" s="37"/>
      <c r="M102" s="37"/>
      <c r="N102" s="37"/>
      <c r="O102" s="37"/>
      <c r="P102" s="37"/>
      <c r="Q102" s="37"/>
      <c r="R102" s="37"/>
      <c r="S102" s="37"/>
      <c r="T102" s="37"/>
      <c r="U102" s="41"/>
      <c r="V102" s="41"/>
      <c r="W102" s="41"/>
      <c r="X102" s="41"/>
      <c r="Y102" s="41"/>
      <c r="Z102" s="41"/>
      <c r="AA102" s="41"/>
      <c r="AB102" s="41"/>
      <c r="AC102" s="41"/>
      <c r="AD102" s="41"/>
      <c r="AE102" s="67"/>
      <c r="AF102" s="42"/>
      <c r="AG102" s="41"/>
      <c r="AH102" s="41"/>
      <c r="AI102" s="41"/>
      <c r="AJ102" s="43"/>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33"/>
      <c r="CH102" s="33">
        <v>20</v>
      </c>
      <c r="CI102" s="33">
        <f t="shared" si="37"/>
        <v>61.388888888888893</v>
      </c>
      <c r="CJ102" s="33">
        <f t="shared" si="38"/>
        <v>15.243636824237102</v>
      </c>
      <c r="CK102" s="33">
        <f t="shared" si="39"/>
        <v>0</v>
      </c>
      <c r="CL102" s="29">
        <v>19</v>
      </c>
      <c r="CN102" s="33">
        <v>20</v>
      </c>
      <c r="CO102" s="33">
        <f t="shared" si="40"/>
        <v>73.666666666666671</v>
      </c>
      <c r="CP102" s="33">
        <f t="shared" si="41"/>
        <v>41.255405480541938</v>
      </c>
      <c r="CQ102" s="33">
        <f t="shared" si="42"/>
        <v>0</v>
      </c>
      <c r="CR102" s="29">
        <v>19</v>
      </c>
      <c r="CT102" s="33">
        <v>20</v>
      </c>
      <c r="CU102" s="33">
        <f t="shared" si="43"/>
        <v>101.29166666666667</v>
      </c>
      <c r="CV102" s="33">
        <f t="shared" si="44"/>
        <v>83.55140259807159</v>
      </c>
      <c r="CW102" s="33">
        <f t="shared" si="45"/>
        <v>0</v>
      </c>
      <c r="CX102" s="29">
        <v>19</v>
      </c>
      <c r="CZ102" s="33">
        <v>20</v>
      </c>
      <c r="DA102" s="33">
        <f t="shared" si="46"/>
        <v>141.19444444444446</v>
      </c>
      <c r="DB102" s="33">
        <f t="shared" si="47"/>
        <v>170.35740499736511</v>
      </c>
      <c r="DC102" s="33">
        <f t="shared" si="48"/>
        <v>29.162960552920651</v>
      </c>
      <c r="DD102" s="29">
        <v>19</v>
      </c>
      <c r="DF102" s="60">
        <v>20</v>
      </c>
      <c r="DG102" s="60">
        <f t="shared" si="49"/>
        <v>233.2777777777778</v>
      </c>
      <c r="DH102" s="60">
        <f t="shared" si="50"/>
        <v>296.73853241196792</v>
      </c>
      <c r="DI102" s="60">
        <f t="shared" si="51"/>
        <v>63.460754634190124</v>
      </c>
      <c r="DJ102" s="51">
        <v>19</v>
      </c>
      <c r="DL102" s="60">
        <v>20</v>
      </c>
      <c r="DM102" s="60">
        <f t="shared" si="52"/>
        <v>362.19444444444446</v>
      </c>
      <c r="DN102" s="60" t="e">
        <f t="shared" si="53"/>
        <v>#VALUE!</v>
      </c>
      <c r="DO102" s="60" t="e">
        <f t="shared" si="54"/>
        <v>#VALUE!</v>
      </c>
      <c r="DP102" s="51">
        <v>19</v>
      </c>
      <c r="EG102" s="29">
        <v>17</v>
      </c>
      <c r="EH102" s="29">
        <v>2</v>
      </c>
      <c r="EI102" s="29">
        <v>40.6</v>
      </c>
      <c r="EJ102" s="29">
        <v>31.7</v>
      </c>
      <c r="EK102" s="29">
        <v>26.7</v>
      </c>
      <c r="EL102" s="29">
        <v>19.3</v>
      </c>
      <c r="EM102" s="29">
        <v>15.8</v>
      </c>
      <c r="EN102" s="29">
        <v>13.6</v>
      </c>
      <c r="EO102" s="29">
        <v>9.4</v>
      </c>
      <c r="EP102" s="29">
        <v>6.5</v>
      </c>
      <c r="EQ102" s="29">
        <v>4</v>
      </c>
      <c r="FF102" s="29">
        <v>98</v>
      </c>
      <c r="FG102" s="29">
        <f t="shared" si="35"/>
        <v>6.1575216010359943</v>
      </c>
      <c r="FH102" s="29">
        <f>($P$20/2000)*SIN(FG102)+($P$20/2000)</f>
        <v>0.21866669160892382</v>
      </c>
      <c r="FI102" s="29">
        <f>($P$20/2000)*COS(FG102)+$P$20/2000</f>
        <v>0.49802867532861944</v>
      </c>
      <c r="FL102" s="29">
        <f>IF($P$19="Hexagon",EU102,IF(OR($P$19="Kerbdrain150",$P$19="Kerbdrain280"),FA102,IF(OR($P$19="Channel100",$P$19="Channel150",$P$19="Channel200",$P$19="Channel430"),EW102,IF(AND($P$19="Oval",$CJ$11=0.15),FH102,IF(AND($P$19="Oval",$CJ$11=0.225),FH102,IF(AND($P$19="Oval",$CJ$11=0.35),FH102,IF(AND($P$19="Oval",$CJ$11=0.55),FH102,IF(AND($P$19="Oval",$CJ$11=0.7),FD102,IF(AND($P$19="Oval",$CJ$11=0.9),FD102,"")))))))))</f>
        <v>0</v>
      </c>
      <c r="FM102" s="29">
        <f>IF($P$19="Hexagon",EV102,IF(OR($P$19="Kerbdrain150",$P$19="Kerbdrain280"),FB102,IF(OR($P$19="Channel100",$P$19="Channel150",$P$19="Channel200",$P$19="Channel430"),EX102,IF(AND($P$19="Oval",$CJ$11=0.15),FI102,IF(AND($P$19="Oval",$CJ$11=0.225),FI102,IF(AND($P$19="Oval",$CJ$11=0.35),FI102,IF(AND($P$19="Oval",$CJ$11=0.55),FI102,IF(AND($P$19="Oval",$CJ$11=0.7),FE102,IF(AND($P$19="Oval",$CJ$11=0.9),FE102,"")))))))))</f>
        <v>0</v>
      </c>
      <c r="FP102" s="29">
        <f>IF(MAX(FL$5:FM$104)&lt;0.5,FL102*2,FL102)</f>
        <v>0</v>
      </c>
      <c r="FQ102" s="29">
        <f>IF(MAX(FL$5:FM$104)&lt;0.5,FM102*2,FM102)</f>
        <v>0</v>
      </c>
      <c r="FT102" s="29">
        <f>IF(AND(FP102=0,FQ102=0),FT101,FP102+(0.5*(1-MAX(FP$5:FP$104))))</f>
        <v>0.5</v>
      </c>
      <c r="FU102" s="29">
        <f>IF(AND(FP102=0,FQ102=0),FU101,FQ102+(0.5*(1-MAX(FQ$5:FQ$104))))</f>
        <v>0.21600000000000003</v>
      </c>
      <c r="GK102" s="51">
        <v>98</v>
      </c>
      <c r="GL102" s="51">
        <f t="shared" si="36"/>
        <v>6.1575216010359943</v>
      </c>
      <c r="GM102" s="51">
        <f>($M$66/2000)*SIN(GL102)+($M$66/2000)</f>
        <v>0.21866669160892382</v>
      </c>
      <c r="GN102" s="51">
        <f>($M$66/2000)*COS(GL102)+$M$66/2000</f>
        <v>0.49802867532861944</v>
      </c>
      <c r="GQ102" s="51">
        <f>IF($M$65="Hexagon",FZ102,IF(OR($M$65="Kerbdrain150",$M$65="Kerbdrain280"),GF102,IF(OR($M$65="Channel100",$M$65="Channel150",$M$65="Channel200",$M$65="Channel430"),GB102,IF(AND($M$65="Oval",$CL$11=0.15),GM102,IF(AND($M$65="Oval",$CL$11=0.225),GM102,IF(AND($M$65="Oval",$CL$11=0.35),GM102,IF(AND($M$65="Oval",$CL$11=0.55),GM102,IF(AND($M$65="Oval",$CL$11=0.7),GI102,IF(AND($M$65="Oval",$CL$11=0.9),GI102,"")))))))))</f>
        <v>0</v>
      </c>
      <c r="GR102" s="51">
        <f>IF($M$65="Hexagon",GA102,IF(OR($M$65="Kerbdrain150",$M$65="Kerbdrain280"),GG102,IF(OR($M$65="Channel100",$M$65="Channel150",$M$65="Channel200",$M$65="Channel430"),GC102,IF(AND($M$65="Oval",$CL$11=0.15),GN102,IF(AND($M$65="Oval",$CL$11=0.225),GN102,IF(AND($M$65="Oval",$CL$11=0.35),GN102,IF(AND($M$65="Oval",$CL$11=0.55),GN102,IF(AND($M$65="Oval",$CL$11=0.7),GJ102,IF(AND($M$65="Oval",$CL$11=0.9),GJ102,"")))))))))</f>
        <v>0</v>
      </c>
      <c r="GU102" s="51">
        <f>IF(MAX(GQ$5:GR$104)&lt;0.5,GQ102*2,GQ102)</f>
        <v>0</v>
      </c>
      <c r="GV102" s="51">
        <f>IF(MAX(GQ$5:GR$104)&lt;0.5,GR102*2,GR102)</f>
        <v>0</v>
      </c>
      <c r="GY102" s="51">
        <f>IF(AND(GU102=0,GV102=0),GY101,GU102+(0.5*(1-MAX(GU$5:GU$104))))</f>
        <v>0.5</v>
      </c>
      <c r="GZ102" s="51">
        <f>IF(AND(GU102=0,GV102=0),GZ101,GV102+(0.5*(1-MAX(GV$5:GV$104))))</f>
        <v>0.21600000000000003</v>
      </c>
    </row>
    <row r="103" spans="2:208" ht="15.75" thickBot="1">
      <c r="B103" s="16"/>
      <c r="C103" s="17"/>
      <c r="D103" s="17"/>
      <c r="E103" s="17"/>
      <c r="F103" s="18"/>
      <c r="G103" s="44"/>
      <c r="H103" s="45"/>
      <c r="I103" s="45"/>
      <c r="J103" s="45"/>
      <c r="K103" s="45"/>
      <c r="L103" s="45"/>
      <c r="M103" s="45"/>
      <c r="N103" s="45"/>
      <c r="O103" s="45"/>
      <c r="P103" s="45"/>
      <c r="Q103" s="45"/>
      <c r="R103" s="45"/>
      <c r="S103" s="45"/>
      <c r="T103" s="45"/>
      <c r="U103" s="46"/>
      <c r="V103" s="46"/>
      <c r="W103" s="46"/>
      <c r="X103" s="46"/>
      <c r="Y103" s="46"/>
      <c r="Z103" s="46"/>
      <c r="AA103" s="46"/>
      <c r="AB103" s="46"/>
      <c r="AC103" s="46"/>
      <c r="AD103" s="46"/>
      <c r="AE103" s="69"/>
      <c r="AF103" s="47"/>
      <c r="AG103" s="46"/>
      <c r="AH103" s="46"/>
      <c r="AI103" s="46"/>
      <c r="AJ103" s="48"/>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33"/>
      <c r="CH103" s="33">
        <v>21</v>
      </c>
      <c r="CI103" s="33">
        <f t="shared" si="37"/>
        <v>64.458333333333343</v>
      </c>
      <c r="CJ103" s="33">
        <f t="shared" si="38"/>
        <v>15.294592703575093</v>
      </c>
      <c r="CK103" s="33">
        <f t="shared" si="39"/>
        <v>0</v>
      </c>
      <c r="CL103" s="29">
        <v>20</v>
      </c>
      <c r="CN103" s="33">
        <v>21</v>
      </c>
      <c r="CO103" s="33">
        <f t="shared" si="40"/>
        <v>76.736111111111114</v>
      </c>
      <c r="CP103" s="33">
        <f t="shared" si="41"/>
        <v>41.348370085778072</v>
      </c>
      <c r="CQ103" s="33">
        <f t="shared" si="42"/>
        <v>0</v>
      </c>
      <c r="CR103" s="29">
        <v>20</v>
      </c>
      <c r="CT103" s="33">
        <v>21</v>
      </c>
      <c r="CU103" s="33">
        <f t="shared" si="43"/>
        <v>104.36111111111111</v>
      </c>
      <c r="CV103" s="33">
        <f t="shared" si="44"/>
        <v>83.693400905576354</v>
      </c>
      <c r="CW103" s="33">
        <f t="shared" si="45"/>
        <v>0</v>
      </c>
      <c r="CX103" s="29">
        <v>20</v>
      </c>
      <c r="CZ103" s="33">
        <v>21</v>
      </c>
      <c r="DA103" s="33">
        <f t="shared" si="46"/>
        <v>144.26388888888889</v>
      </c>
      <c r="DB103" s="33">
        <f t="shared" si="47"/>
        <v>170.57578250349457</v>
      </c>
      <c r="DC103" s="33">
        <f t="shared" si="48"/>
        <v>26.31189361460568</v>
      </c>
      <c r="DD103" s="29">
        <v>20</v>
      </c>
      <c r="DF103" s="60">
        <v>21</v>
      </c>
      <c r="DG103" s="60">
        <f t="shared" si="49"/>
        <v>236.34722222222223</v>
      </c>
      <c r="DH103" s="60">
        <f t="shared" si="50"/>
        <v>297.04282459833854</v>
      </c>
      <c r="DI103" s="60">
        <f t="shared" si="51"/>
        <v>60.695602376116312</v>
      </c>
      <c r="DJ103" s="51">
        <v>20</v>
      </c>
      <c r="DL103" s="60">
        <v>21</v>
      </c>
      <c r="DM103" s="60">
        <f t="shared" si="52"/>
        <v>365.26388888888891</v>
      </c>
      <c r="DN103" s="60" t="e">
        <f t="shared" si="53"/>
        <v>#VALUE!</v>
      </c>
      <c r="DO103" s="60" t="e">
        <f t="shared" si="54"/>
        <v>#VALUE!</v>
      </c>
      <c r="DP103" s="51">
        <v>20</v>
      </c>
      <c r="EG103" s="29" t="s">
        <v>39</v>
      </c>
      <c r="EH103" s="29">
        <v>5</v>
      </c>
      <c r="EI103" s="29">
        <v>54</v>
      </c>
      <c r="EJ103" s="29">
        <v>41.8</v>
      </c>
      <c r="EK103" s="29">
        <v>35.1</v>
      </c>
      <c r="EL103" s="29">
        <v>25.1</v>
      </c>
      <c r="EM103" s="29">
        <v>20.3</v>
      </c>
      <c r="EN103" s="29">
        <v>17.399999999999999</v>
      </c>
      <c r="EO103" s="29">
        <v>11.9</v>
      </c>
      <c r="EP103" s="29">
        <v>8</v>
      </c>
      <c r="EQ103" s="29">
        <v>5</v>
      </c>
      <c r="FF103" s="29">
        <v>99</v>
      </c>
      <c r="FG103" s="29">
        <f t="shared" si="35"/>
        <v>6.2203534541077907</v>
      </c>
      <c r="FH103" s="29">
        <f>($P$20/2000)*SIN(FG103)+($P$20/2000)</f>
        <v>0.23430237011767169</v>
      </c>
      <c r="FI103" s="29">
        <f>($P$20/2000)*COS(FG103)+$P$20/2000</f>
        <v>0.49950668210706789</v>
      </c>
      <c r="FL103" s="29">
        <f>IF($P$19="Hexagon",EU103,IF(OR($P$19="Kerbdrain150",$P$19="Kerbdrain280"),FA103,IF(OR($P$19="Channel100",$P$19="Channel150",$P$19="Channel200",$P$19="Channel430"),EW103,IF(AND($P$19="Oval",$CJ$11=0.15),FH103,IF(AND($P$19="Oval",$CJ$11=0.225),FH103,IF(AND($P$19="Oval",$CJ$11=0.35),FH103,IF(AND($P$19="Oval",$CJ$11=0.55),FH103,IF(AND($P$19="Oval",$CJ$11=0.7),FD103,IF(AND($P$19="Oval",$CJ$11=0.9),FD103,"")))))))))</f>
        <v>0</v>
      </c>
      <c r="FM103" s="29">
        <f>IF($P$19="Hexagon",EV103,IF(OR($P$19="Kerbdrain150",$P$19="Kerbdrain280"),FB103,IF(OR($P$19="Channel100",$P$19="Channel150",$P$19="Channel200",$P$19="Channel430"),EX103,IF(AND($P$19="Oval",$CJ$11=0.15),FI103,IF(AND($P$19="Oval",$CJ$11=0.225),FI103,IF(AND($P$19="Oval",$CJ$11=0.35),FI103,IF(AND($P$19="Oval",$CJ$11=0.55),FI103,IF(AND($P$19="Oval",$CJ$11=0.7),FE103,IF(AND($P$19="Oval",$CJ$11=0.9),FE103,"")))))))))</f>
        <v>0</v>
      </c>
      <c r="FP103" s="29">
        <f>IF(MAX(FL$5:FM$104)&lt;0.5,FL103*2,FL103)</f>
        <v>0</v>
      </c>
      <c r="FQ103" s="29">
        <f>IF(MAX(FL$5:FM$104)&lt;0.5,FM103*2,FM103)</f>
        <v>0</v>
      </c>
      <c r="FT103" s="29">
        <f>IF(AND(FP103=0,FQ103=0),FT102,FP103+(0.5*(1-MAX(FP$5:FP$104))))</f>
        <v>0.5</v>
      </c>
      <c r="FU103" s="29">
        <f>IF(AND(FP103=0,FQ103=0),FU102,FQ103+(0.5*(1-MAX(FQ$5:FQ$104))))</f>
        <v>0.21600000000000003</v>
      </c>
      <c r="GK103" s="51">
        <v>99</v>
      </c>
      <c r="GL103" s="51">
        <f t="shared" si="36"/>
        <v>6.2203534541077907</v>
      </c>
      <c r="GM103" s="51">
        <f>($M$66/2000)*SIN(GL103)+($M$66/2000)</f>
        <v>0.23430237011767169</v>
      </c>
      <c r="GN103" s="51">
        <f>($M$66/2000)*COS(GL103)+$M$66/2000</f>
        <v>0.49950668210706789</v>
      </c>
      <c r="GQ103" s="51">
        <f>IF($M$65="Hexagon",FZ103,IF(OR($M$65="Kerbdrain150",$M$65="Kerbdrain280"),GF103,IF(OR($M$65="Channel100",$M$65="Channel150",$M$65="Channel200",$M$65="Channel430"),GB103,IF(AND($M$65="Oval",$CL$11=0.15),GM103,IF(AND($M$65="Oval",$CL$11=0.225),GM103,IF(AND($M$65="Oval",$CL$11=0.35),GM103,IF(AND($M$65="Oval",$CL$11=0.55),GM103,IF(AND($M$65="Oval",$CL$11=0.7),GI103,IF(AND($M$65="Oval",$CL$11=0.9),GI103,"")))))))))</f>
        <v>0</v>
      </c>
      <c r="GR103" s="51">
        <f>IF($M$65="Hexagon",GA103,IF(OR($M$65="Kerbdrain150",$M$65="Kerbdrain280"),GG103,IF(OR($M$65="Channel100",$M$65="Channel150",$M$65="Channel200",$M$65="Channel430"),GC103,IF(AND($M$65="Oval",$CL$11=0.15),GN103,IF(AND($M$65="Oval",$CL$11=0.225),GN103,IF(AND($M$65="Oval",$CL$11=0.35),GN103,IF(AND($M$65="Oval",$CL$11=0.55),GN103,IF(AND($M$65="Oval",$CL$11=0.7),GJ103,IF(AND($M$65="Oval",$CL$11=0.9),GJ103,"")))))))))</f>
        <v>0</v>
      </c>
      <c r="GU103" s="51">
        <f>IF(MAX(GQ$5:GR$104)&lt;0.5,GQ103*2,GQ103)</f>
        <v>0</v>
      </c>
      <c r="GV103" s="51">
        <f>IF(MAX(GQ$5:GR$104)&lt;0.5,GR103*2,GR103)</f>
        <v>0</v>
      </c>
      <c r="GY103" s="51">
        <f>IF(AND(GU103=0,GV103=0),GY102,GU103+(0.5*(1-MAX(GU$5:GU$104))))</f>
        <v>0.5</v>
      </c>
      <c r="GZ103" s="51">
        <f>IF(AND(GU103=0,GV103=0),GZ102,GV103+(0.5*(1-MAX(GV$5:GV$104))))</f>
        <v>0.21600000000000003</v>
      </c>
    </row>
    <row r="104" spans="2:208">
      <c r="CH104" s="33">
        <v>22</v>
      </c>
      <c r="CI104" s="33">
        <f t="shared" si="37"/>
        <v>67.527777777777786</v>
      </c>
      <c r="CJ104" s="33">
        <f t="shared" si="38"/>
        <v>15.345548582913084</v>
      </c>
      <c r="CK104" s="33">
        <f t="shared" si="39"/>
        <v>0</v>
      </c>
      <c r="CL104" s="29">
        <v>21</v>
      </c>
      <c r="CN104" s="33">
        <v>22</v>
      </c>
      <c r="CO104" s="33">
        <f t="shared" si="40"/>
        <v>79.805555555555557</v>
      </c>
      <c r="CP104" s="33">
        <f t="shared" si="41"/>
        <v>41.441334691014212</v>
      </c>
      <c r="CQ104" s="33">
        <f t="shared" si="42"/>
        <v>0</v>
      </c>
      <c r="CR104" s="29">
        <v>21</v>
      </c>
      <c r="CT104" s="33">
        <v>22</v>
      </c>
      <c r="CU104" s="33">
        <f t="shared" si="43"/>
        <v>107.43055555555556</v>
      </c>
      <c r="CV104" s="33">
        <f t="shared" si="44"/>
        <v>83.835399213081132</v>
      </c>
      <c r="CW104" s="33">
        <f t="shared" si="45"/>
        <v>0</v>
      </c>
      <c r="CX104" s="29">
        <v>21</v>
      </c>
      <c r="CZ104" s="33">
        <v>22</v>
      </c>
      <c r="DA104" s="33">
        <f t="shared" si="46"/>
        <v>147.33333333333334</v>
      </c>
      <c r="DB104" s="33">
        <f t="shared" si="47"/>
        <v>170.79416000962402</v>
      </c>
      <c r="DC104" s="33">
        <f t="shared" si="48"/>
        <v>23.460826676290679</v>
      </c>
      <c r="DD104" s="29">
        <v>21</v>
      </c>
      <c r="DF104" s="60">
        <v>22</v>
      </c>
      <c r="DG104" s="60">
        <f t="shared" si="49"/>
        <v>239.41666666666669</v>
      </c>
      <c r="DH104" s="60">
        <f t="shared" si="50"/>
        <v>297.34711678470921</v>
      </c>
      <c r="DI104" s="60">
        <f t="shared" si="51"/>
        <v>57.930450118042529</v>
      </c>
      <c r="DJ104" s="51">
        <v>21</v>
      </c>
      <c r="DL104" s="60">
        <v>22</v>
      </c>
      <c r="DM104" s="60">
        <f t="shared" si="52"/>
        <v>368.33333333333337</v>
      </c>
      <c r="DN104" s="60" t="e">
        <f t="shared" si="53"/>
        <v>#VALUE!</v>
      </c>
      <c r="DO104" s="60" t="e">
        <f t="shared" si="54"/>
        <v>#VALUE!</v>
      </c>
      <c r="DP104" s="51">
        <v>21</v>
      </c>
      <c r="EG104" s="29">
        <v>0.2</v>
      </c>
      <c r="EH104" s="29">
        <v>10</v>
      </c>
      <c r="EI104" s="29">
        <v>61.3</v>
      </c>
      <c r="EJ104" s="29">
        <v>47.9</v>
      </c>
      <c r="EK104" s="29">
        <v>40.4</v>
      </c>
      <c r="EL104" s="29">
        <v>29.1</v>
      </c>
      <c r="EM104" s="29">
        <v>23.7</v>
      </c>
      <c r="EN104" s="29">
        <v>20.399999999999999</v>
      </c>
      <c r="EO104" s="29">
        <v>13.9</v>
      </c>
      <c r="EP104" s="29">
        <v>9.3000000000000007</v>
      </c>
      <c r="EQ104" s="29">
        <v>6</v>
      </c>
      <c r="FF104" s="29">
        <v>100</v>
      </c>
      <c r="FG104" s="29">
        <f t="shared" si="35"/>
        <v>6.2831853071795862</v>
      </c>
      <c r="FH104" s="29">
        <f>($P$20/2000)*SIN(FG104)+($P$20/2000)</f>
        <v>0.24999999999999994</v>
      </c>
      <c r="FI104" s="29">
        <f>($P$20/2000)*COS(FG104)+$P$20/2000</f>
        <v>0.5</v>
      </c>
      <c r="FL104" s="29">
        <f>IF($P$19="Hexagon",EU104,IF(OR($P$19="Kerbdrain150",$P$19="Kerbdrain280"),FA104,IF(OR($P$19="Channel100",$P$19="Channel150",$P$19="Channel200",$P$19="Channel430"),EW104,IF(AND($P$19="Oval",$CJ$11=0.15),FH104,IF(AND($P$19="Oval",$CJ$11=0.225),FH104,IF(AND($P$19="Oval",$CJ$11=0.35),FH104,IF(AND($P$19="Oval",$CJ$11=0.55),FH104,IF(AND($P$19="Oval",$CJ$11=0.7),FD104,IF(AND($P$19="Oval",$CJ$11=0.9),FD104,"")))))))))</f>
        <v>0</v>
      </c>
      <c r="FM104" s="29">
        <f>IF($P$19="Hexagon",EV104,IF(OR($P$19="Kerbdrain150",$P$19="Kerbdrain280"),FB104,IF(OR($P$19="Channel100",$P$19="Channel150",$P$19="Channel200",$P$19="Channel430"),EX104,IF(AND($P$19="Oval",$CJ$11=0.15),FI104,IF(AND($P$19="Oval",$CJ$11=0.225),FI104,IF(AND($P$19="Oval",$CJ$11=0.35),FI104,IF(AND($P$19="Oval",$CJ$11=0.55),FI104,IF(AND($P$19="Oval",$CJ$11=0.7),FE104,IF(AND($P$19="Oval",$CJ$11=0.9),FE104,"")))))))))</f>
        <v>0</v>
      </c>
      <c r="FP104" s="29">
        <f>IF(MAX(FL$5:FM$104)&lt;0.5,FL104*2,FL104)</f>
        <v>0</v>
      </c>
      <c r="FQ104" s="29">
        <f>IF(MAX(FL$5:FM$104)&lt;0.5,FM104*2,FM104)</f>
        <v>0</v>
      </c>
      <c r="FT104" s="29">
        <f>IF(AND(FP104=0,FQ104=0),FT103,FP104+(0.5*(1-MAX(FP$5:FP$104))))</f>
        <v>0.5</v>
      </c>
      <c r="FU104" s="29">
        <f>IF(AND(FP104=0,FQ104=0),FU103,FQ104+(0.5*(1-MAX(FQ$5:FQ$104))))</f>
        <v>0.21600000000000003</v>
      </c>
      <c r="GK104" s="51">
        <v>100</v>
      </c>
      <c r="GL104" s="51">
        <f t="shared" si="36"/>
        <v>6.2831853071795862</v>
      </c>
      <c r="GM104" s="51">
        <f>($M$66/2000)*SIN(GL104)+($M$66/2000)</f>
        <v>0.24999999999999994</v>
      </c>
      <c r="GN104" s="51">
        <f>($M$66/2000)*COS(GL104)+$M$66/2000</f>
        <v>0.5</v>
      </c>
      <c r="GQ104" s="51">
        <f>IF($M$65="Hexagon",FZ104,IF(OR($M$65="Kerbdrain150",$M$65="Kerbdrain280"),GF104,IF(OR($M$65="Channel100",$M$65="Channel150",$M$65="Channel200",$M$65="Channel430"),GB104,IF(AND($M$65="Oval",$CL$11=0.15),GM104,IF(AND($M$65="Oval",$CL$11=0.225),GM104,IF(AND($M$65="Oval",$CL$11=0.35),GM104,IF(AND($M$65="Oval",$CL$11=0.55),GM104,IF(AND($M$65="Oval",$CL$11=0.7),GI104,IF(AND($M$65="Oval",$CL$11=0.9),GI104,"")))))))))</f>
        <v>0</v>
      </c>
      <c r="GR104" s="51">
        <f>IF($M$65="Hexagon",GA104,IF(OR($M$65="Kerbdrain150",$M$65="Kerbdrain280"),GG104,IF(OR($M$65="Channel100",$M$65="Channel150",$M$65="Channel200",$M$65="Channel430"),GC104,IF(AND($M$65="Oval",$CL$11=0.15),GN104,IF(AND($M$65="Oval",$CL$11=0.225),GN104,IF(AND($M$65="Oval",$CL$11=0.35),GN104,IF(AND($M$65="Oval",$CL$11=0.55),GN104,IF(AND($M$65="Oval",$CL$11=0.7),GJ104,IF(AND($M$65="Oval",$CL$11=0.9),GJ104,"")))))))))</f>
        <v>0</v>
      </c>
      <c r="GU104" s="51">
        <f>IF(MAX(GQ$5:GR$104)&lt;0.5,GQ104*2,GQ104)</f>
        <v>0</v>
      </c>
      <c r="GV104" s="51">
        <f>IF(MAX(GQ$5:GR$104)&lt;0.5,GR104*2,GR104)</f>
        <v>0</v>
      </c>
      <c r="GY104" s="51">
        <f>IF(AND(GU104=0,GV104=0),GY103,GU104+(0.5*(1-MAX(GU$5:GU$104))))</f>
        <v>0.5</v>
      </c>
      <c r="GZ104" s="51">
        <f>IF(AND(GU104=0,GV104=0),GZ103,GV104+(0.5*(1-MAX(GV$5:GV$104))))</f>
        <v>0.21600000000000003</v>
      </c>
    </row>
    <row r="105" spans="2:208">
      <c r="CH105" s="33">
        <v>23</v>
      </c>
      <c r="CI105" s="33">
        <f t="shared" si="37"/>
        <v>70.597222222222229</v>
      </c>
      <c r="CJ105" s="33">
        <f t="shared" si="38"/>
        <v>15.396504462251078</v>
      </c>
      <c r="CK105" s="33">
        <f t="shared" si="39"/>
        <v>0</v>
      </c>
      <c r="CL105" s="29">
        <v>22</v>
      </c>
      <c r="CN105" s="33">
        <v>23</v>
      </c>
      <c r="CO105" s="33">
        <f t="shared" si="40"/>
        <v>82.875</v>
      </c>
      <c r="CP105" s="33">
        <f t="shared" si="41"/>
        <v>41.534299296250346</v>
      </c>
      <c r="CQ105" s="33">
        <f t="shared" si="42"/>
        <v>0</v>
      </c>
      <c r="CR105" s="29">
        <v>22</v>
      </c>
      <c r="CT105" s="33">
        <v>23</v>
      </c>
      <c r="CU105" s="33">
        <f t="shared" si="43"/>
        <v>110.5</v>
      </c>
      <c r="CV105" s="33">
        <f t="shared" si="44"/>
        <v>83.977397520585896</v>
      </c>
      <c r="CW105" s="33">
        <f t="shared" si="45"/>
        <v>0</v>
      </c>
      <c r="CX105" s="29">
        <v>22</v>
      </c>
      <c r="CZ105" s="33">
        <v>23</v>
      </c>
      <c r="DA105" s="33">
        <f t="shared" si="46"/>
        <v>150.4027777777778</v>
      </c>
      <c r="DB105" s="33">
        <f t="shared" si="47"/>
        <v>171.01253751575345</v>
      </c>
      <c r="DC105" s="33">
        <f t="shared" si="48"/>
        <v>20.609759737975651</v>
      </c>
      <c r="DD105" s="29">
        <v>22</v>
      </c>
      <c r="DF105" s="60">
        <v>23</v>
      </c>
      <c r="DG105" s="60">
        <f t="shared" si="49"/>
        <v>242.48611111111111</v>
      </c>
      <c r="DH105" s="60">
        <f t="shared" si="50"/>
        <v>297.65140897107983</v>
      </c>
      <c r="DI105" s="60">
        <f t="shared" si="51"/>
        <v>55.165297859968717</v>
      </c>
      <c r="DJ105" s="51">
        <v>22</v>
      </c>
      <c r="DL105" s="60">
        <v>23</v>
      </c>
      <c r="DM105" s="60">
        <f t="shared" si="52"/>
        <v>371.40277777777783</v>
      </c>
      <c r="DN105" s="60" t="e">
        <f t="shared" si="53"/>
        <v>#VALUE!</v>
      </c>
      <c r="DO105" s="60" t="e">
        <f t="shared" si="54"/>
        <v>#VALUE!</v>
      </c>
      <c r="DP105" s="51">
        <v>22</v>
      </c>
      <c r="EG105" s="29"/>
      <c r="EH105" s="29">
        <v>15</v>
      </c>
      <c r="EI105" s="29">
        <v>66.099999999999994</v>
      </c>
      <c r="EJ105" s="29">
        <v>51.8</v>
      </c>
      <c r="EK105" s="29">
        <v>43.8</v>
      </c>
      <c r="EL105" s="29">
        <v>31.8</v>
      </c>
      <c r="EM105" s="29">
        <v>25.9</v>
      </c>
      <c r="EN105" s="29">
        <v>22.3</v>
      </c>
      <c r="EO105" s="29">
        <v>15.3</v>
      </c>
      <c r="EP105" s="29">
        <v>10.199999999999999</v>
      </c>
      <c r="EQ105" s="29">
        <v>7</v>
      </c>
    </row>
    <row r="106" spans="2:208">
      <c r="CH106" s="33">
        <v>24</v>
      </c>
      <c r="CI106" s="33">
        <f t="shared" si="37"/>
        <v>73.666666666666671</v>
      </c>
      <c r="CJ106" s="33">
        <f t="shared" si="38"/>
        <v>15.447460341589071</v>
      </c>
      <c r="CK106" s="33">
        <f t="shared" si="39"/>
        <v>0</v>
      </c>
      <c r="CL106" s="29">
        <v>23</v>
      </c>
      <c r="CN106" s="33">
        <v>24</v>
      </c>
      <c r="CO106" s="33">
        <f t="shared" si="40"/>
        <v>85.944444444444457</v>
      </c>
      <c r="CP106" s="33">
        <f t="shared" si="41"/>
        <v>41.627263901486479</v>
      </c>
      <c r="CQ106" s="33">
        <f t="shared" si="42"/>
        <v>0</v>
      </c>
      <c r="CR106" s="29">
        <v>23</v>
      </c>
      <c r="CT106" s="33">
        <v>24</v>
      </c>
      <c r="CU106" s="33">
        <f t="shared" si="43"/>
        <v>113.56944444444446</v>
      </c>
      <c r="CV106" s="33">
        <f t="shared" si="44"/>
        <v>84.11939582809066</v>
      </c>
      <c r="CW106" s="33">
        <f t="shared" si="45"/>
        <v>0</v>
      </c>
      <c r="CX106" s="29">
        <v>23</v>
      </c>
      <c r="CZ106" s="33">
        <v>24</v>
      </c>
      <c r="DA106" s="33">
        <f t="shared" si="46"/>
        <v>153.47222222222223</v>
      </c>
      <c r="DB106" s="33">
        <f t="shared" si="47"/>
        <v>171.23091502188291</v>
      </c>
      <c r="DC106" s="33">
        <f t="shared" si="48"/>
        <v>17.758692799660679</v>
      </c>
      <c r="DD106" s="29">
        <v>23</v>
      </c>
      <c r="DF106" s="60">
        <v>24</v>
      </c>
      <c r="DG106" s="60">
        <f t="shared" si="49"/>
        <v>245.55555555555557</v>
      </c>
      <c r="DH106" s="60">
        <f t="shared" si="50"/>
        <v>297.95570115745045</v>
      </c>
      <c r="DI106" s="60">
        <f t="shared" si="51"/>
        <v>52.400145601894877</v>
      </c>
      <c r="DJ106" s="51">
        <v>23</v>
      </c>
      <c r="DL106" s="60">
        <v>24</v>
      </c>
      <c r="DM106" s="60">
        <f t="shared" si="52"/>
        <v>374.47222222222223</v>
      </c>
      <c r="DN106" s="60" t="e">
        <f t="shared" si="53"/>
        <v>#VALUE!</v>
      </c>
      <c r="DO106" s="60" t="e">
        <f t="shared" si="54"/>
        <v>#VALUE!</v>
      </c>
      <c r="DP106" s="51">
        <v>23</v>
      </c>
      <c r="EG106" s="29"/>
      <c r="EH106" s="29">
        <v>20</v>
      </c>
      <c r="EI106" s="29">
        <v>69.7</v>
      </c>
      <c r="EJ106" s="29">
        <v>54.8</v>
      </c>
      <c r="EK106" s="29">
        <v>46.5</v>
      </c>
      <c r="EL106" s="29">
        <v>33.799999999999997</v>
      </c>
      <c r="EM106" s="29">
        <v>27.6</v>
      </c>
      <c r="EN106" s="29">
        <v>23.8</v>
      </c>
      <c r="EO106" s="29">
        <v>16.3</v>
      </c>
      <c r="EP106" s="29">
        <v>10.8</v>
      </c>
      <c r="EQ106" s="29">
        <v>7</v>
      </c>
    </row>
    <row r="107" spans="2:208">
      <c r="CH107" s="33">
        <v>25</v>
      </c>
      <c r="CI107" s="33">
        <f t="shared" si="37"/>
        <v>76.736111111111114</v>
      </c>
      <c r="CJ107" s="33">
        <f t="shared" si="38"/>
        <v>15.498416220927062</v>
      </c>
      <c r="CK107" s="33">
        <f t="shared" si="39"/>
        <v>0</v>
      </c>
      <c r="CL107" s="29">
        <v>24</v>
      </c>
      <c r="CN107" s="33">
        <v>25</v>
      </c>
      <c r="CO107" s="33">
        <f t="shared" si="40"/>
        <v>89.0138888888889</v>
      </c>
      <c r="CP107" s="33">
        <f t="shared" si="41"/>
        <v>41.720228506722613</v>
      </c>
      <c r="CQ107" s="33">
        <f t="shared" si="42"/>
        <v>0</v>
      </c>
      <c r="CR107" s="29">
        <v>24</v>
      </c>
      <c r="CT107" s="33">
        <v>25</v>
      </c>
      <c r="CU107" s="33">
        <f t="shared" si="43"/>
        <v>116.6388888888889</v>
      </c>
      <c r="CV107" s="33">
        <f t="shared" si="44"/>
        <v>84.261394135595438</v>
      </c>
      <c r="CW107" s="33">
        <f t="shared" si="45"/>
        <v>0</v>
      </c>
      <c r="CX107" s="29">
        <v>24</v>
      </c>
      <c r="CZ107" s="33">
        <v>25</v>
      </c>
      <c r="DA107" s="33">
        <f t="shared" si="46"/>
        <v>156.54166666666669</v>
      </c>
      <c r="DB107" s="33">
        <f t="shared" si="47"/>
        <v>171.44929252801236</v>
      </c>
      <c r="DC107" s="33">
        <f t="shared" si="48"/>
        <v>14.907625861345679</v>
      </c>
      <c r="DD107" s="29">
        <v>24</v>
      </c>
      <c r="DF107" s="60">
        <v>25</v>
      </c>
      <c r="DG107" s="60">
        <f t="shared" si="49"/>
        <v>248.62500000000003</v>
      </c>
      <c r="DH107" s="60">
        <f t="shared" si="50"/>
        <v>298.25999334382112</v>
      </c>
      <c r="DI107" s="60">
        <f t="shared" si="51"/>
        <v>49.634993343821094</v>
      </c>
      <c r="DJ107" s="51">
        <v>24</v>
      </c>
      <c r="DL107" s="60">
        <v>25</v>
      </c>
      <c r="DM107" s="60">
        <f t="shared" si="52"/>
        <v>377.54166666666669</v>
      </c>
      <c r="DN107" s="60" t="e">
        <f t="shared" si="53"/>
        <v>#VALUE!</v>
      </c>
      <c r="DO107" s="60" t="e">
        <f t="shared" si="54"/>
        <v>#VALUE!</v>
      </c>
      <c r="DP107" s="51">
        <v>24</v>
      </c>
      <c r="EG107" s="29"/>
      <c r="EH107" s="29">
        <v>25</v>
      </c>
      <c r="EI107" s="29">
        <v>72.599999999999994</v>
      </c>
      <c r="EJ107" s="29">
        <v>57.2</v>
      </c>
      <c r="EK107" s="29">
        <v>48.6</v>
      </c>
      <c r="EL107" s="29">
        <v>35.5</v>
      </c>
      <c r="EM107" s="29">
        <v>29</v>
      </c>
      <c r="EN107" s="29">
        <v>25</v>
      </c>
      <c r="EO107" s="29">
        <v>17.100000000000001</v>
      </c>
      <c r="EP107" s="29">
        <v>11.4</v>
      </c>
      <c r="EQ107" s="29">
        <v>7</v>
      </c>
    </row>
    <row r="108" spans="2:208">
      <c r="CH108" s="33">
        <v>26</v>
      </c>
      <c r="CI108" s="33">
        <f t="shared" si="37"/>
        <v>79.805555555555557</v>
      </c>
      <c r="CJ108" s="33">
        <f t="shared" si="38"/>
        <v>15.549372100265055</v>
      </c>
      <c r="CK108" s="33">
        <f t="shared" si="39"/>
        <v>0</v>
      </c>
      <c r="CL108" s="29">
        <v>25</v>
      </c>
      <c r="CN108" s="33">
        <v>26</v>
      </c>
      <c r="CO108" s="33">
        <f t="shared" si="40"/>
        <v>92.083333333333343</v>
      </c>
      <c r="CP108" s="33">
        <f t="shared" si="41"/>
        <v>41.813193111958753</v>
      </c>
      <c r="CQ108" s="33">
        <f t="shared" si="42"/>
        <v>0</v>
      </c>
      <c r="CR108" s="29">
        <v>25</v>
      </c>
      <c r="CT108" s="33">
        <v>26</v>
      </c>
      <c r="CU108" s="33">
        <f t="shared" si="43"/>
        <v>119.70833333333334</v>
      </c>
      <c r="CV108" s="33">
        <f t="shared" si="44"/>
        <v>84.403392443100202</v>
      </c>
      <c r="CW108" s="33">
        <f t="shared" si="45"/>
        <v>0</v>
      </c>
      <c r="CX108" s="29">
        <v>25</v>
      </c>
      <c r="CZ108" s="33">
        <v>26</v>
      </c>
      <c r="DA108" s="33">
        <f t="shared" si="46"/>
        <v>159.61111111111111</v>
      </c>
      <c r="DB108" s="33">
        <f t="shared" si="47"/>
        <v>171.66767003414182</v>
      </c>
      <c r="DC108" s="33">
        <f t="shared" si="48"/>
        <v>12.056558923030707</v>
      </c>
      <c r="DD108" s="29">
        <v>25</v>
      </c>
      <c r="DF108" s="60">
        <v>26</v>
      </c>
      <c r="DG108" s="60">
        <f t="shared" si="49"/>
        <v>251.69444444444446</v>
      </c>
      <c r="DH108" s="60">
        <f t="shared" si="50"/>
        <v>298.56428553019174</v>
      </c>
      <c r="DI108" s="60">
        <f t="shared" si="51"/>
        <v>46.869841085747282</v>
      </c>
      <c r="DJ108" s="51">
        <v>25</v>
      </c>
      <c r="DL108" s="60">
        <v>26</v>
      </c>
      <c r="DM108" s="60">
        <f t="shared" si="52"/>
        <v>380.61111111111114</v>
      </c>
      <c r="DN108" s="60" t="e">
        <f t="shared" si="53"/>
        <v>#VALUE!</v>
      </c>
      <c r="DO108" s="60" t="e">
        <f t="shared" si="54"/>
        <v>#VALUE!</v>
      </c>
      <c r="DP108" s="51">
        <v>25</v>
      </c>
      <c r="EG108" s="29"/>
      <c r="EH108" s="29">
        <v>30</v>
      </c>
      <c r="EI108" s="29">
        <v>75.099999999999994</v>
      </c>
      <c r="EJ108" s="29">
        <v>59.3</v>
      </c>
      <c r="EK108" s="29">
        <v>50.4</v>
      </c>
      <c r="EL108" s="29">
        <v>36.9</v>
      </c>
      <c r="EM108" s="29">
        <v>30.2</v>
      </c>
      <c r="EN108" s="29">
        <v>26.1</v>
      </c>
      <c r="EO108" s="29">
        <v>17.899999999999999</v>
      </c>
      <c r="EP108" s="29">
        <v>11.8</v>
      </c>
      <c r="EQ108" s="29">
        <v>8</v>
      </c>
    </row>
    <row r="109" spans="2:208">
      <c r="CH109" s="33">
        <v>27</v>
      </c>
      <c r="CI109" s="33">
        <f t="shared" si="37"/>
        <v>82.875</v>
      </c>
      <c r="CJ109" s="33">
        <f t="shared" si="38"/>
        <v>15.600327979603049</v>
      </c>
      <c r="CK109" s="33">
        <f t="shared" si="39"/>
        <v>0</v>
      </c>
      <c r="CL109" s="29">
        <v>26</v>
      </c>
      <c r="CN109" s="33">
        <v>27</v>
      </c>
      <c r="CO109" s="33">
        <f t="shared" si="40"/>
        <v>95.152777777777786</v>
      </c>
      <c r="CP109" s="33">
        <f t="shared" si="41"/>
        <v>41.906157717194887</v>
      </c>
      <c r="CQ109" s="33">
        <f t="shared" si="42"/>
        <v>0</v>
      </c>
      <c r="CR109" s="29">
        <v>26</v>
      </c>
      <c r="CT109" s="33">
        <v>27</v>
      </c>
      <c r="CU109" s="33">
        <f t="shared" si="43"/>
        <v>122.77777777777779</v>
      </c>
      <c r="CV109" s="33">
        <f t="shared" si="44"/>
        <v>84.545390750604966</v>
      </c>
      <c r="CW109" s="33">
        <f t="shared" si="45"/>
        <v>0</v>
      </c>
      <c r="CX109" s="29">
        <v>26</v>
      </c>
      <c r="CZ109" s="33">
        <v>27</v>
      </c>
      <c r="DA109" s="33">
        <f t="shared" si="46"/>
        <v>162.68055555555557</v>
      </c>
      <c r="DB109" s="33">
        <f t="shared" si="47"/>
        <v>171.88604754027128</v>
      </c>
      <c r="DC109" s="33">
        <f t="shared" si="48"/>
        <v>9.2054919847157066</v>
      </c>
      <c r="DD109" s="29">
        <v>26</v>
      </c>
      <c r="DF109" s="60">
        <v>27</v>
      </c>
      <c r="DG109" s="60">
        <f t="shared" si="49"/>
        <v>254.76388888888891</v>
      </c>
      <c r="DH109" s="60">
        <f t="shared" si="50"/>
        <v>298.86857771656247</v>
      </c>
      <c r="DI109" s="60">
        <f t="shared" si="51"/>
        <v>44.104688827673556</v>
      </c>
      <c r="DJ109" s="51">
        <v>26</v>
      </c>
      <c r="DL109" s="60">
        <v>27</v>
      </c>
      <c r="DM109" s="60">
        <f t="shared" si="52"/>
        <v>383.6805555555556</v>
      </c>
      <c r="DN109" s="60" t="e">
        <f t="shared" si="53"/>
        <v>#VALUE!</v>
      </c>
      <c r="DO109" s="60" t="e">
        <f t="shared" si="54"/>
        <v>#VALUE!</v>
      </c>
      <c r="DP109" s="51">
        <v>26</v>
      </c>
      <c r="EG109" s="29"/>
      <c r="EH109" s="29">
        <v>50</v>
      </c>
      <c r="EI109" s="29">
        <v>82.5</v>
      </c>
      <c r="EJ109" s="29">
        <v>65.5</v>
      </c>
      <c r="EK109" s="29">
        <v>55.9</v>
      </c>
      <c r="EL109" s="29">
        <v>41.2</v>
      </c>
      <c r="EM109" s="29">
        <v>33.799999999999997</v>
      </c>
      <c r="EN109" s="29">
        <v>29.2</v>
      </c>
      <c r="EO109" s="29">
        <v>20.100000000000001</v>
      </c>
      <c r="EP109" s="29">
        <v>13.2</v>
      </c>
      <c r="EQ109" s="29">
        <v>9</v>
      </c>
    </row>
    <row r="110" spans="2:208">
      <c r="CH110" s="33">
        <v>28</v>
      </c>
      <c r="CI110" s="33">
        <f t="shared" si="37"/>
        <v>85.944444444444457</v>
      </c>
      <c r="CJ110" s="33">
        <f t="shared" si="38"/>
        <v>15.651283858941039</v>
      </c>
      <c r="CK110" s="33">
        <f t="shared" si="39"/>
        <v>0</v>
      </c>
      <c r="CL110" s="29">
        <v>27</v>
      </c>
      <c r="CN110" s="33">
        <v>28</v>
      </c>
      <c r="CO110" s="33">
        <f t="shared" si="40"/>
        <v>98.222222222222229</v>
      </c>
      <c r="CP110" s="33">
        <f t="shared" si="41"/>
        <v>41.99912232243102</v>
      </c>
      <c r="CQ110" s="33">
        <f t="shared" si="42"/>
        <v>0</v>
      </c>
      <c r="CR110" s="29">
        <v>27</v>
      </c>
      <c r="CT110" s="33">
        <v>28</v>
      </c>
      <c r="CU110" s="33">
        <f t="shared" si="43"/>
        <v>125.84722222222223</v>
      </c>
      <c r="CV110" s="33">
        <f t="shared" si="44"/>
        <v>84.687389058109744</v>
      </c>
      <c r="CW110" s="33">
        <f t="shared" si="45"/>
        <v>0</v>
      </c>
      <c r="CX110" s="29">
        <v>27</v>
      </c>
      <c r="CZ110" s="33">
        <v>28</v>
      </c>
      <c r="DA110" s="33">
        <f t="shared" si="46"/>
        <v>165.75</v>
      </c>
      <c r="DB110" s="33">
        <f t="shared" si="47"/>
        <v>172.10442504640076</v>
      </c>
      <c r="DC110" s="33">
        <f t="shared" si="48"/>
        <v>6.3544250464007632</v>
      </c>
      <c r="DD110" s="29">
        <v>27</v>
      </c>
      <c r="DF110" s="60">
        <v>28</v>
      </c>
      <c r="DG110" s="60">
        <f t="shared" si="49"/>
        <v>257.83333333333337</v>
      </c>
      <c r="DH110" s="60">
        <f t="shared" si="50"/>
        <v>299.17286990293303</v>
      </c>
      <c r="DI110" s="60">
        <f t="shared" si="51"/>
        <v>41.339536569599659</v>
      </c>
      <c r="DJ110" s="51">
        <v>27</v>
      </c>
      <c r="DL110" s="60">
        <v>28</v>
      </c>
      <c r="DM110" s="60">
        <f t="shared" si="52"/>
        <v>386.75</v>
      </c>
      <c r="DN110" s="60" t="e">
        <f t="shared" si="53"/>
        <v>#VALUE!</v>
      </c>
      <c r="DO110" s="60" t="e">
        <f t="shared" si="54"/>
        <v>#VALUE!</v>
      </c>
      <c r="DP110" s="51">
        <v>27</v>
      </c>
      <c r="EG110" s="29"/>
      <c r="EH110" s="29">
        <v>100</v>
      </c>
      <c r="EI110" s="29">
        <v>93.8</v>
      </c>
      <c r="EJ110" s="29">
        <v>74.900000000000006</v>
      </c>
      <c r="EK110" s="29">
        <v>64.3</v>
      </c>
      <c r="EL110" s="29">
        <v>47.9</v>
      </c>
      <c r="EM110" s="29">
        <v>39.5</v>
      </c>
      <c r="EN110" s="29">
        <v>34.200000000000003</v>
      </c>
      <c r="EO110" s="29">
        <v>23.5</v>
      </c>
      <c r="EP110" s="29">
        <v>15.4</v>
      </c>
      <c r="EQ110" s="29">
        <v>10</v>
      </c>
    </row>
    <row r="111" spans="2:208">
      <c r="CH111" s="33">
        <v>29</v>
      </c>
      <c r="CI111" s="33">
        <f t="shared" si="37"/>
        <v>89.0138888888889</v>
      </c>
      <c r="CJ111" s="33">
        <f t="shared" si="38"/>
        <v>15.702239738279031</v>
      </c>
      <c r="CK111" s="33">
        <f t="shared" si="39"/>
        <v>0</v>
      </c>
      <c r="CL111" s="29">
        <v>28</v>
      </c>
      <c r="CN111" s="33">
        <v>29</v>
      </c>
      <c r="CO111" s="33">
        <f t="shared" si="40"/>
        <v>101.29166666666667</v>
      </c>
      <c r="CP111" s="33">
        <f t="shared" si="41"/>
        <v>42.092086927667154</v>
      </c>
      <c r="CQ111" s="33">
        <f t="shared" si="42"/>
        <v>0</v>
      </c>
      <c r="CR111" s="29">
        <v>28</v>
      </c>
      <c r="CT111" s="33">
        <v>29</v>
      </c>
      <c r="CU111" s="33">
        <f t="shared" si="43"/>
        <v>128.91666666666669</v>
      </c>
      <c r="CV111" s="33">
        <f t="shared" si="44"/>
        <v>84.829387365614508</v>
      </c>
      <c r="CW111" s="33">
        <f t="shared" si="45"/>
        <v>0</v>
      </c>
      <c r="CX111" s="29">
        <v>28</v>
      </c>
      <c r="CZ111" s="33">
        <v>29</v>
      </c>
      <c r="DA111" s="33">
        <f t="shared" si="46"/>
        <v>168.81944444444446</v>
      </c>
      <c r="DB111" s="33">
        <f t="shared" si="47"/>
        <v>172.32280255253019</v>
      </c>
      <c r="DC111" s="33">
        <f t="shared" si="48"/>
        <v>3.5033581080857346</v>
      </c>
      <c r="DD111" s="29">
        <v>28</v>
      </c>
      <c r="DF111" s="60">
        <v>29</v>
      </c>
      <c r="DG111" s="60">
        <f t="shared" si="49"/>
        <v>260.90277777777777</v>
      </c>
      <c r="DH111" s="60">
        <f t="shared" si="50"/>
        <v>299.4771620893037</v>
      </c>
      <c r="DI111" s="60">
        <f t="shared" si="51"/>
        <v>38.574384311525932</v>
      </c>
      <c r="DJ111" s="51">
        <v>28</v>
      </c>
      <c r="DL111" s="60">
        <v>29</v>
      </c>
      <c r="DM111" s="60">
        <f t="shared" si="52"/>
        <v>389.81944444444446</v>
      </c>
      <c r="DN111" s="60" t="e">
        <f t="shared" si="53"/>
        <v>#VALUE!</v>
      </c>
      <c r="DO111" s="60" t="e">
        <f t="shared" si="54"/>
        <v>#VALUE!</v>
      </c>
      <c r="DP111" s="51">
        <v>28</v>
      </c>
      <c r="EG111" s="29"/>
      <c r="EH111" s="29">
        <v>500</v>
      </c>
      <c r="EI111" s="29">
        <v>126.2</v>
      </c>
      <c r="EJ111" s="29">
        <v>102.4</v>
      </c>
      <c r="EK111" s="29">
        <v>89.1</v>
      </c>
      <c r="EL111" s="29">
        <v>67.8</v>
      </c>
      <c r="EM111" s="29">
        <v>56.4</v>
      </c>
      <c r="EN111" s="29">
        <v>49</v>
      </c>
      <c r="EO111" s="29">
        <v>33.9</v>
      </c>
      <c r="EP111" s="29">
        <v>21.8</v>
      </c>
      <c r="EQ111" s="29">
        <v>14</v>
      </c>
    </row>
    <row r="112" spans="2:208">
      <c r="CH112" s="33">
        <v>30</v>
      </c>
      <c r="CI112" s="33">
        <f t="shared" si="37"/>
        <v>92.083333333333343</v>
      </c>
      <c r="CJ112" s="33">
        <f t="shared" si="38"/>
        <v>15.753195617617024</v>
      </c>
      <c r="CK112" s="33">
        <f t="shared" si="39"/>
        <v>0</v>
      </c>
      <c r="CL112" s="29">
        <v>29</v>
      </c>
      <c r="CN112" s="33">
        <v>30</v>
      </c>
      <c r="CO112" s="33">
        <f t="shared" si="40"/>
        <v>104.36111111111111</v>
      </c>
      <c r="CP112" s="33">
        <f t="shared" si="41"/>
        <v>42.185051532903294</v>
      </c>
      <c r="CQ112" s="33">
        <f t="shared" si="42"/>
        <v>0</v>
      </c>
      <c r="CR112" s="29">
        <v>29</v>
      </c>
      <c r="CT112" s="33">
        <v>30</v>
      </c>
      <c r="CU112" s="33">
        <f t="shared" si="43"/>
        <v>131.98611111111111</v>
      </c>
      <c r="CV112" s="33">
        <f t="shared" si="44"/>
        <v>84.971385673119272</v>
      </c>
      <c r="CW112" s="33">
        <f t="shared" si="45"/>
        <v>0</v>
      </c>
      <c r="CX112" s="29">
        <v>29</v>
      </c>
      <c r="CZ112" s="33">
        <v>30</v>
      </c>
      <c r="DA112" s="33">
        <f t="shared" si="46"/>
        <v>171.88888888888891</v>
      </c>
      <c r="DB112" s="33">
        <f t="shared" si="47"/>
        <v>172.54118005865962</v>
      </c>
      <c r="DC112" s="33">
        <f t="shared" si="48"/>
        <v>0.65229116977070589</v>
      </c>
      <c r="DD112" s="29">
        <v>29</v>
      </c>
      <c r="DF112" s="60">
        <v>30</v>
      </c>
      <c r="DG112" s="60">
        <f t="shared" si="49"/>
        <v>263.97222222222223</v>
      </c>
      <c r="DH112" s="60">
        <f t="shared" si="50"/>
        <v>299.78145427567432</v>
      </c>
      <c r="DI112" s="60">
        <f t="shared" si="51"/>
        <v>35.809232053452092</v>
      </c>
      <c r="DJ112" s="51">
        <v>29</v>
      </c>
      <c r="DL112" s="60">
        <v>30</v>
      </c>
      <c r="DM112" s="60">
        <f t="shared" si="52"/>
        <v>392.88888888888891</v>
      </c>
      <c r="DN112" s="60" t="e">
        <f t="shared" si="53"/>
        <v>#VALUE!</v>
      </c>
      <c r="DO112" s="60" t="e">
        <f t="shared" si="54"/>
        <v>#VALUE!</v>
      </c>
      <c r="DP112" s="51">
        <v>29</v>
      </c>
      <c r="EG112" s="29"/>
      <c r="EH112" s="29">
        <v>1000</v>
      </c>
      <c r="EI112" s="29">
        <v>143.4</v>
      </c>
      <c r="EJ112" s="29">
        <v>117.2</v>
      </c>
      <c r="EK112" s="29">
        <v>102.5</v>
      </c>
      <c r="EL112" s="29">
        <v>78.7</v>
      </c>
      <c r="EM112" s="29">
        <v>65.7</v>
      </c>
      <c r="EN112" s="29">
        <v>57.3</v>
      </c>
      <c r="EO112" s="29">
        <v>39.700000000000003</v>
      </c>
      <c r="EP112" s="29">
        <v>25.3</v>
      </c>
      <c r="EQ112" s="29">
        <v>16</v>
      </c>
    </row>
    <row r="113" spans="86:147">
      <c r="CH113" s="33">
        <v>31</v>
      </c>
      <c r="CI113" s="33">
        <f t="shared" si="37"/>
        <v>95.152777777777786</v>
      </c>
      <c r="CJ113" s="33">
        <f t="shared" si="38"/>
        <v>15.804151496955019</v>
      </c>
      <c r="CK113" s="33">
        <f t="shared" si="39"/>
        <v>0</v>
      </c>
      <c r="CL113" s="29">
        <v>30</v>
      </c>
      <c r="CN113" s="33">
        <v>31</v>
      </c>
      <c r="CO113" s="33">
        <f t="shared" si="40"/>
        <v>107.43055555555556</v>
      </c>
      <c r="CP113" s="33">
        <f t="shared" si="41"/>
        <v>42.278016138139428</v>
      </c>
      <c r="CQ113" s="33">
        <f t="shared" si="42"/>
        <v>0</v>
      </c>
      <c r="CR113" s="29">
        <v>30</v>
      </c>
      <c r="CT113" s="33">
        <v>31</v>
      </c>
      <c r="CU113" s="33">
        <f t="shared" si="43"/>
        <v>135.05555555555557</v>
      </c>
      <c r="CV113" s="33">
        <f t="shared" si="44"/>
        <v>85.11338398062405</v>
      </c>
      <c r="CW113" s="33">
        <f t="shared" si="45"/>
        <v>0</v>
      </c>
      <c r="CX113" s="29">
        <v>30</v>
      </c>
      <c r="CZ113" s="33">
        <v>31</v>
      </c>
      <c r="DA113" s="33">
        <f t="shared" si="46"/>
        <v>174.95833333333334</v>
      </c>
      <c r="DB113" s="33">
        <f t="shared" si="47"/>
        <v>172.75955756478908</v>
      </c>
      <c r="DC113" s="33">
        <f t="shared" si="48"/>
        <v>0</v>
      </c>
      <c r="DD113" s="29">
        <v>30</v>
      </c>
      <c r="DF113" s="60">
        <v>31</v>
      </c>
      <c r="DG113" s="60">
        <f t="shared" si="49"/>
        <v>267.04166666666669</v>
      </c>
      <c r="DH113" s="60">
        <f t="shared" si="50"/>
        <v>300.08574646204494</v>
      </c>
      <c r="DI113" s="60">
        <f t="shared" si="51"/>
        <v>33.044079795378252</v>
      </c>
      <c r="DJ113" s="51">
        <v>30</v>
      </c>
      <c r="DL113" s="60">
        <v>31</v>
      </c>
      <c r="DM113" s="60">
        <f t="shared" si="52"/>
        <v>395.95833333333337</v>
      </c>
      <c r="DN113" s="60" t="e">
        <f t="shared" si="53"/>
        <v>#VALUE!</v>
      </c>
      <c r="DO113" s="60" t="e">
        <f t="shared" si="54"/>
        <v>#VALUE!</v>
      </c>
      <c r="DP113" s="51">
        <v>30</v>
      </c>
    </row>
    <row r="114" spans="86:147">
      <c r="CH114" s="33">
        <v>32</v>
      </c>
      <c r="CI114" s="33">
        <f t="shared" si="37"/>
        <v>98.222222222222229</v>
      </c>
      <c r="CJ114" s="33">
        <f t="shared" si="38"/>
        <v>15.855107376293008</v>
      </c>
      <c r="CK114" s="33">
        <f t="shared" si="39"/>
        <v>0</v>
      </c>
      <c r="CL114" s="29">
        <v>31</v>
      </c>
      <c r="CN114" s="33">
        <v>32</v>
      </c>
      <c r="CO114" s="33">
        <f t="shared" si="40"/>
        <v>110.5</v>
      </c>
      <c r="CP114" s="33">
        <f t="shared" si="41"/>
        <v>42.370980743375561</v>
      </c>
      <c r="CQ114" s="33">
        <f t="shared" si="42"/>
        <v>0</v>
      </c>
      <c r="CR114" s="29">
        <v>31</v>
      </c>
      <c r="CT114" s="33">
        <v>32</v>
      </c>
      <c r="CU114" s="33">
        <f t="shared" si="43"/>
        <v>138.125</v>
      </c>
      <c r="CV114" s="33">
        <f t="shared" si="44"/>
        <v>85.255382288128814</v>
      </c>
      <c r="CW114" s="33">
        <f t="shared" si="45"/>
        <v>0</v>
      </c>
      <c r="CX114" s="29">
        <v>31</v>
      </c>
      <c r="CZ114" s="33">
        <v>32</v>
      </c>
      <c r="DA114" s="33">
        <f t="shared" si="46"/>
        <v>178.0277777777778</v>
      </c>
      <c r="DB114" s="33">
        <f t="shared" si="47"/>
        <v>172.97793507091856</v>
      </c>
      <c r="DC114" s="33">
        <f t="shared" si="48"/>
        <v>0</v>
      </c>
      <c r="DD114" s="29">
        <v>31</v>
      </c>
      <c r="DF114" s="60">
        <v>32</v>
      </c>
      <c r="DG114" s="60">
        <f t="shared" si="49"/>
        <v>270.11111111111114</v>
      </c>
      <c r="DH114" s="60">
        <f t="shared" si="50"/>
        <v>300.39003864841561</v>
      </c>
      <c r="DI114" s="60">
        <f t="shared" si="51"/>
        <v>30.278927537304469</v>
      </c>
      <c r="DJ114" s="51">
        <v>31</v>
      </c>
      <c r="DL114" s="60">
        <v>32</v>
      </c>
      <c r="DM114" s="60">
        <f t="shared" si="52"/>
        <v>399.02777777777783</v>
      </c>
      <c r="DN114" s="60" t="e">
        <f t="shared" si="53"/>
        <v>#VALUE!</v>
      </c>
      <c r="DO114" s="60" t="e">
        <f t="shared" si="54"/>
        <v>#VALUE!</v>
      </c>
      <c r="DP114" s="51">
        <v>31</v>
      </c>
    </row>
    <row r="115" spans="86:147">
      <c r="CH115" s="33">
        <v>33</v>
      </c>
      <c r="CI115" s="33">
        <f t="shared" si="37"/>
        <v>101.29166666666667</v>
      </c>
      <c r="CJ115" s="33">
        <f t="shared" si="38"/>
        <v>15.906063255631</v>
      </c>
      <c r="CK115" s="33">
        <f t="shared" si="39"/>
        <v>0</v>
      </c>
      <c r="CL115" s="29">
        <v>32</v>
      </c>
      <c r="CN115" s="33">
        <v>33</v>
      </c>
      <c r="CO115" s="33">
        <f t="shared" si="40"/>
        <v>113.56944444444446</v>
      </c>
      <c r="CP115" s="33">
        <f t="shared" si="41"/>
        <v>42.463945348611695</v>
      </c>
      <c r="CQ115" s="33">
        <f t="shared" si="42"/>
        <v>0</v>
      </c>
      <c r="CR115" s="29">
        <v>32</v>
      </c>
      <c r="CT115" s="33">
        <v>33</v>
      </c>
      <c r="CU115" s="33">
        <f t="shared" si="43"/>
        <v>141.19444444444446</v>
      </c>
      <c r="CV115" s="33">
        <f t="shared" si="44"/>
        <v>85.397380595633592</v>
      </c>
      <c r="CW115" s="33">
        <f t="shared" si="45"/>
        <v>0</v>
      </c>
      <c r="CX115" s="29">
        <v>32</v>
      </c>
      <c r="CZ115" s="33">
        <v>33</v>
      </c>
      <c r="DA115" s="33">
        <f t="shared" si="46"/>
        <v>181.09722222222223</v>
      </c>
      <c r="DB115" s="33">
        <f t="shared" si="47"/>
        <v>173.19631257704802</v>
      </c>
      <c r="DC115" s="33">
        <f t="shared" si="48"/>
        <v>0</v>
      </c>
      <c r="DD115" s="29">
        <v>32</v>
      </c>
      <c r="DF115" s="60">
        <v>33</v>
      </c>
      <c r="DG115" s="60">
        <f t="shared" si="49"/>
        <v>273.1805555555556</v>
      </c>
      <c r="DH115" s="60">
        <f t="shared" si="50"/>
        <v>300.69433083478623</v>
      </c>
      <c r="DI115" s="60">
        <f t="shared" si="51"/>
        <v>27.513775279230629</v>
      </c>
      <c r="DJ115" s="51">
        <v>32</v>
      </c>
      <c r="DL115" s="60">
        <v>33</v>
      </c>
      <c r="DM115" s="60">
        <f t="shared" si="52"/>
        <v>402.09722222222223</v>
      </c>
      <c r="DN115" s="60" t="e">
        <f t="shared" si="53"/>
        <v>#VALUE!</v>
      </c>
      <c r="DO115" s="60" t="e">
        <f t="shared" si="54"/>
        <v>#VALUE!</v>
      </c>
      <c r="DP115" s="51">
        <v>32</v>
      </c>
      <c r="EG115" s="29" t="s">
        <v>36</v>
      </c>
      <c r="EH115" s="29" t="s">
        <v>16</v>
      </c>
      <c r="EI115" s="29" t="s">
        <v>37</v>
      </c>
      <c r="EJ115" s="29"/>
      <c r="EK115" s="29"/>
      <c r="EL115" s="29"/>
      <c r="EM115" s="29"/>
      <c r="EN115" s="29"/>
      <c r="EO115" s="29"/>
    </row>
    <row r="116" spans="86:147">
      <c r="CH116" s="33">
        <v>34</v>
      </c>
      <c r="CI116" s="33">
        <f t="shared" si="37"/>
        <v>104.36111111111111</v>
      </c>
      <c r="CJ116" s="33">
        <f t="shared" si="38"/>
        <v>15.957019134968993</v>
      </c>
      <c r="CK116" s="33">
        <f t="shared" si="39"/>
        <v>0</v>
      </c>
      <c r="CL116" s="29">
        <v>33</v>
      </c>
      <c r="CN116" s="33">
        <v>34</v>
      </c>
      <c r="CO116" s="33">
        <f t="shared" si="40"/>
        <v>116.6388888888889</v>
      </c>
      <c r="CP116" s="33">
        <f t="shared" si="41"/>
        <v>42.556909953847828</v>
      </c>
      <c r="CQ116" s="33">
        <f t="shared" si="42"/>
        <v>0</v>
      </c>
      <c r="CR116" s="29">
        <v>33</v>
      </c>
      <c r="CT116" s="33">
        <v>34</v>
      </c>
      <c r="CU116" s="33">
        <f t="shared" si="43"/>
        <v>144.26388888888889</v>
      </c>
      <c r="CV116" s="33">
        <f t="shared" si="44"/>
        <v>85.539378903138356</v>
      </c>
      <c r="CW116" s="33">
        <f t="shared" si="45"/>
        <v>0</v>
      </c>
      <c r="CX116" s="29">
        <v>33</v>
      </c>
      <c r="CZ116" s="33">
        <v>34</v>
      </c>
      <c r="DA116" s="33">
        <f t="shared" si="46"/>
        <v>184.16666666666669</v>
      </c>
      <c r="DB116" s="33">
        <f t="shared" si="47"/>
        <v>173.41469008317745</v>
      </c>
      <c r="DC116" s="33">
        <f t="shared" si="48"/>
        <v>0</v>
      </c>
      <c r="DD116" s="29">
        <v>33</v>
      </c>
      <c r="DF116" s="60">
        <v>34</v>
      </c>
      <c r="DG116" s="60">
        <f t="shared" si="49"/>
        <v>276.25</v>
      </c>
      <c r="DH116" s="60">
        <f t="shared" si="50"/>
        <v>300.9986230211569</v>
      </c>
      <c r="DI116" s="60">
        <f t="shared" si="51"/>
        <v>24.748623021156902</v>
      </c>
      <c r="DJ116" s="51">
        <v>33</v>
      </c>
      <c r="DL116" s="60">
        <v>34</v>
      </c>
      <c r="DM116" s="60">
        <f t="shared" si="52"/>
        <v>405.16666666666669</v>
      </c>
      <c r="DN116" s="60" t="e">
        <f t="shared" si="53"/>
        <v>#VALUE!</v>
      </c>
      <c r="DO116" s="60" t="e">
        <f t="shared" si="54"/>
        <v>#VALUE!</v>
      </c>
      <c r="DP116" s="51">
        <v>33</v>
      </c>
      <c r="EG116" s="29"/>
      <c r="EH116" s="29"/>
      <c r="EI116" s="29">
        <v>5</v>
      </c>
      <c r="EJ116" s="29">
        <v>10</v>
      </c>
      <c r="EK116" s="29">
        <v>15</v>
      </c>
      <c r="EL116" s="29">
        <v>30</v>
      </c>
      <c r="EM116" s="29">
        <v>45</v>
      </c>
      <c r="EN116" s="29">
        <v>60</v>
      </c>
      <c r="EO116" s="29">
        <v>120</v>
      </c>
      <c r="EP116" s="29">
        <v>240</v>
      </c>
      <c r="EQ116" s="29">
        <v>480</v>
      </c>
    </row>
    <row r="117" spans="86:147">
      <c r="CH117" s="33">
        <v>35</v>
      </c>
      <c r="CI117" s="33">
        <f t="shared" si="37"/>
        <v>107.43055555555556</v>
      </c>
      <c r="CJ117" s="33">
        <f t="shared" si="38"/>
        <v>16.007975014306982</v>
      </c>
      <c r="CK117" s="33">
        <f t="shared" si="39"/>
        <v>0</v>
      </c>
      <c r="CL117" s="29">
        <v>34</v>
      </c>
      <c r="CN117" s="33">
        <v>35</v>
      </c>
      <c r="CO117" s="33">
        <f t="shared" si="40"/>
        <v>119.70833333333334</v>
      </c>
      <c r="CP117" s="33">
        <f t="shared" si="41"/>
        <v>42.649874559083962</v>
      </c>
      <c r="CQ117" s="33">
        <f t="shared" si="42"/>
        <v>0</v>
      </c>
      <c r="CR117" s="29">
        <v>34</v>
      </c>
      <c r="CT117" s="33">
        <v>35</v>
      </c>
      <c r="CU117" s="33">
        <f t="shared" si="43"/>
        <v>147.33333333333334</v>
      </c>
      <c r="CV117" s="33">
        <f t="shared" si="44"/>
        <v>85.68137721064312</v>
      </c>
      <c r="CW117" s="33">
        <f t="shared" si="45"/>
        <v>0</v>
      </c>
      <c r="CX117" s="29">
        <v>34</v>
      </c>
      <c r="CZ117" s="33">
        <v>35</v>
      </c>
      <c r="DA117" s="33">
        <f t="shared" si="46"/>
        <v>187.23611111111111</v>
      </c>
      <c r="DB117" s="33">
        <f t="shared" si="47"/>
        <v>173.6330675893069</v>
      </c>
      <c r="DC117" s="33">
        <f t="shared" si="48"/>
        <v>0</v>
      </c>
      <c r="DD117" s="29">
        <v>34</v>
      </c>
      <c r="DF117" s="60">
        <v>35</v>
      </c>
      <c r="DG117" s="60">
        <f t="shared" si="49"/>
        <v>279.31944444444446</v>
      </c>
      <c r="DH117" s="60">
        <f t="shared" si="50"/>
        <v>301.30291520752758</v>
      </c>
      <c r="DI117" s="60">
        <f t="shared" si="51"/>
        <v>21.983470763083119</v>
      </c>
      <c r="DJ117" s="51">
        <v>34</v>
      </c>
      <c r="DL117" s="60">
        <v>35</v>
      </c>
      <c r="DM117" s="60">
        <f t="shared" si="52"/>
        <v>408.23611111111114</v>
      </c>
      <c r="DN117" s="60" t="e">
        <f t="shared" si="53"/>
        <v>#VALUE!</v>
      </c>
      <c r="DO117" s="60" t="e">
        <f t="shared" si="54"/>
        <v>#VALUE!</v>
      </c>
      <c r="DP117" s="51">
        <v>34</v>
      </c>
      <c r="EG117" s="29" t="s">
        <v>38</v>
      </c>
      <c r="EH117" s="29">
        <v>1</v>
      </c>
      <c r="EI117" s="29">
        <v>28.3</v>
      </c>
      <c r="EJ117" s="29">
        <v>21.6</v>
      </c>
      <c r="EK117" s="29">
        <v>17.7</v>
      </c>
      <c r="EL117" s="29">
        <v>12.4</v>
      </c>
      <c r="EM117" s="29">
        <v>10</v>
      </c>
      <c r="EN117" s="29">
        <v>8.6</v>
      </c>
      <c r="EO117" s="29">
        <v>6</v>
      </c>
      <c r="EP117" s="29">
        <v>4.2</v>
      </c>
      <c r="EQ117" s="29">
        <v>3</v>
      </c>
    </row>
    <row r="118" spans="86:147">
      <c r="CH118" s="33">
        <v>36</v>
      </c>
      <c r="CI118" s="33">
        <f t="shared" si="37"/>
        <v>110.5</v>
      </c>
      <c r="CJ118" s="33">
        <f t="shared" si="38"/>
        <v>16.058930893644977</v>
      </c>
      <c r="CK118" s="33">
        <f t="shared" si="39"/>
        <v>0</v>
      </c>
      <c r="CL118" s="29">
        <v>35</v>
      </c>
      <c r="CN118" s="33">
        <v>36</v>
      </c>
      <c r="CO118" s="33">
        <f t="shared" si="40"/>
        <v>122.77777777777779</v>
      </c>
      <c r="CP118" s="33">
        <f t="shared" si="41"/>
        <v>42.742839164320095</v>
      </c>
      <c r="CQ118" s="33">
        <f t="shared" si="42"/>
        <v>0</v>
      </c>
      <c r="CR118" s="29">
        <v>35</v>
      </c>
      <c r="CT118" s="33">
        <v>36</v>
      </c>
      <c r="CU118" s="33">
        <f t="shared" si="43"/>
        <v>150.4027777777778</v>
      </c>
      <c r="CV118" s="33">
        <f t="shared" si="44"/>
        <v>85.823375518147898</v>
      </c>
      <c r="CW118" s="33">
        <f t="shared" si="45"/>
        <v>0</v>
      </c>
      <c r="CX118" s="29">
        <v>35</v>
      </c>
      <c r="CZ118" s="33">
        <v>36</v>
      </c>
      <c r="DA118" s="33">
        <f t="shared" si="46"/>
        <v>190.30555555555557</v>
      </c>
      <c r="DB118" s="33">
        <f t="shared" si="47"/>
        <v>173.85144509543633</v>
      </c>
      <c r="DC118" s="33">
        <f t="shared" si="48"/>
        <v>0</v>
      </c>
      <c r="DD118" s="29">
        <v>35</v>
      </c>
      <c r="DF118" s="60">
        <v>36</v>
      </c>
      <c r="DG118" s="60">
        <f t="shared" si="49"/>
        <v>282.38888888888891</v>
      </c>
      <c r="DH118" s="60">
        <f t="shared" si="50"/>
        <v>301.60720739389819</v>
      </c>
      <c r="DI118" s="60">
        <f t="shared" si="51"/>
        <v>19.218318505009279</v>
      </c>
      <c r="DJ118" s="51">
        <v>35</v>
      </c>
      <c r="DL118" s="60">
        <v>36</v>
      </c>
      <c r="DM118" s="60">
        <f t="shared" si="52"/>
        <v>411.3055555555556</v>
      </c>
      <c r="DN118" s="60" t="e">
        <f t="shared" si="53"/>
        <v>#VALUE!</v>
      </c>
      <c r="DO118" s="60" t="e">
        <f t="shared" si="54"/>
        <v>#VALUE!</v>
      </c>
      <c r="DP118" s="51">
        <v>35</v>
      </c>
      <c r="EG118" s="29">
        <v>14</v>
      </c>
      <c r="EH118" s="29">
        <v>2</v>
      </c>
      <c r="EI118" s="29">
        <v>33.299999999999997</v>
      </c>
      <c r="EJ118" s="29">
        <v>26</v>
      </c>
      <c r="EK118" s="29">
        <v>21.9</v>
      </c>
      <c r="EL118" s="29">
        <v>15.8</v>
      </c>
      <c r="EM118" s="29">
        <v>12.9</v>
      </c>
      <c r="EN118" s="29">
        <v>11.1</v>
      </c>
      <c r="EO118" s="29">
        <v>7.7</v>
      </c>
      <c r="EP118" s="29">
        <v>5.3</v>
      </c>
      <c r="EQ118" s="29">
        <v>4</v>
      </c>
    </row>
    <row r="119" spans="86:147">
      <c r="CH119" s="33">
        <v>37</v>
      </c>
      <c r="CI119" s="33">
        <f t="shared" si="37"/>
        <v>113.56944444444446</v>
      </c>
      <c r="CJ119" s="33">
        <f t="shared" si="38"/>
        <v>16.109886772982971</v>
      </c>
      <c r="CK119" s="33">
        <f t="shared" si="39"/>
        <v>0</v>
      </c>
      <c r="CL119" s="29">
        <v>36</v>
      </c>
      <c r="CN119" s="33">
        <v>37</v>
      </c>
      <c r="CO119" s="33">
        <f t="shared" si="40"/>
        <v>125.84722222222223</v>
      </c>
      <c r="CP119" s="33">
        <f t="shared" si="41"/>
        <v>42.835803769556229</v>
      </c>
      <c r="CQ119" s="33">
        <f t="shared" si="42"/>
        <v>0</v>
      </c>
      <c r="CR119" s="29">
        <v>36</v>
      </c>
      <c r="CT119" s="33">
        <v>37</v>
      </c>
      <c r="CU119" s="33">
        <f t="shared" si="43"/>
        <v>153.47222222222223</v>
      </c>
      <c r="CV119" s="33">
        <f t="shared" si="44"/>
        <v>85.965373825652662</v>
      </c>
      <c r="CW119" s="33">
        <f t="shared" si="45"/>
        <v>0</v>
      </c>
      <c r="CX119" s="29">
        <v>36</v>
      </c>
      <c r="CZ119" s="33">
        <v>37</v>
      </c>
      <c r="DA119" s="33">
        <f t="shared" si="46"/>
        <v>193.375</v>
      </c>
      <c r="DB119" s="33">
        <f t="shared" si="47"/>
        <v>174.06982260156582</v>
      </c>
      <c r="DC119" s="33">
        <f t="shared" si="48"/>
        <v>0</v>
      </c>
      <c r="DD119" s="29">
        <v>36</v>
      </c>
      <c r="DF119" s="60">
        <v>37</v>
      </c>
      <c r="DG119" s="60">
        <f t="shared" si="49"/>
        <v>285.45833333333337</v>
      </c>
      <c r="DH119" s="60">
        <f t="shared" si="50"/>
        <v>301.91149958026887</v>
      </c>
      <c r="DI119" s="60">
        <f t="shared" si="51"/>
        <v>16.453166246935496</v>
      </c>
      <c r="DJ119" s="51">
        <v>36</v>
      </c>
      <c r="DL119" s="60">
        <v>37</v>
      </c>
      <c r="DM119" s="60">
        <f t="shared" si="52"/>
        <v>414.375</v>
      </c>
      <c r="DN119" s="60" t="e">
        <f t="shared" si="53"/>
        <v>#VALUE!</v>
      </c>
      <c r="DO119" s="60" t="e">
        <f t="shared" si="54"/>
        <v>#VALUE!</v>
      </c>
      <c r="DP119" s="51">
        <v>36</v>
      </c>
      <c r="EG119" s="29" t="s">
        <v>39</v>
      </c>
      <c r="EH119" s="29">
        <v>5</v>
      </c>
      <c r="EI119" s="29">
        <v>44.4</v>
      </c>
      <c r="EJ119" s="29">
        <v>34.4</v>
      </c>
      <c r="EK119" s="29">
        <v>28.9</v>
      </c>
      <c r="EL119" s="29">
        <v>20.7</v>
      </c>
      <c r="EM119" s="29">
        <v>16.7</v>
      </c>
      <c r="EN119" s="29">
        <v>14.3</v>
      </c>
      <c r="EO119" s="29">
        <v>9.8000000000000007</v>
      </c>
      <c r="EP119" s="29">
        <v>6.6</v>
      </c>
      <c r="EQ119" s="29">
        <v>4</v>
      </c>
    </row>
    <row r="120" spans="86:147">
      <c r="CH120" s="33">
        <v>38</v>
      </c>
      <c r="CI120" s="33">
        <f t="shared" si="37"/>
        <v>116.6388888888889</v>
      </c>
      <c r="CJ120" s="33">
        <f t="shared" si="38"/>
        <v>16.160842652320959</v>
      </c>
      <c r="CK120" s="33">
        <f t="shared" si="39"/>
        <v>0</v>
      </c>
      <c r="CL120" s="29">
        <v>37</v>
      </c>
      <c r="CN120" s="33">
        <v>38</v>
      </c>
      <c r="CO120" s="33">
        <f t="shared" si="40"/>
        <v>128.91666666666669</v>
      </c>
      <c r="CP120" s="33">
        <f t="shared" si="41"/>
        <v>42.928768374792369</v>
      </c>
      <c r="CQ120" s="33">
        <f t="shared" si="42"/>
        <v>0</v>
      </c>
      <c r="CR120" s="29">
        <v>37</v>
      </c>
      <c r="CT120" s="33">
        <v>38</v>
      </c>
      <c r="CU120" s="33">
        <f t="shared" si="43"/>
        <v>156.54166666666669</v>
      </c>
      <c r="CV120" s="33">
        <f t="shared" si="44"/>
        <v>86.107372133157426</v>
      </c>
      <c r="CW120" s="33">
        <f t="shared" si="45"/>
        <v>0</v>
      </c>
      <c r="CX120" s="29">
        <v>37</v>
      </c>
      <c r="CZ120" s="33">
        <v>38</v>
      </c>
      <c r="DA120" s="33">
        <f t="shared" si="46"/>
        <v>196.44444444444446</v>
      </c>
      <c r="DB120" s="33">
        <f t="shared" si="47"/>
        <v>174.28820010769527</v>
      </c>
      <c r="DC120" s="33">
        <f t="shared" si="48"/>
        <v>0</v>
      </c>
      <c r="DD120" s="29">
        <v>37</v>
      </c>
      <c r="DF120" s="60">
        <v>38</v>
      </c>
      <c r="DG120" s="60">
        <f t="shared" si="49"/>
        <v>288.52777777777777</v>
      </c>
      <c r="DH120" s="60">
        <f t="shared" si="50"/>
        <v>302.21579176663948</v>
      </c>
      <c r="DI120" s="60">
        <f t="shared" si="51"/>
        <v>13.688013988861712</v>
      </c>
      <c r="DJ120" s="51">
        <v>37</v>
      </c>
      <c r="DL120" s="60">
        <v>38</v>
      </c>
      <c r="DM120" s="60">
        <f t="shared" si="52"/>
        <v>417.44444444444446</v>
      </c>
      <c r="DN120" s="60" t="e">
        <f t="shared" si="53"/>
        <v>#VALUE!</v>
      </c>
      <c r="DO120" s="60" t="e">
        <f t="shared" si="54"/>
        <v>#VALUE!</v>
      </c>
      <c r="DP120" s="51">
        <v>37</v>
      </c>
      <c r="EG120" s="29">
        <v>0.2</v>
      </c>
      <c r="EH120" s="29">
        <v>10</v>
      </c>
      <c r="EI120" s="29">
        <v>50.4</v>
      </c>
      <c r="EJ120" s="29">
        <v>39.299999999999997</v>
      </c>
      <c r="EK120" s="29">
        <v>33.1</v>
      </c>
      <c r="EL120" s="29">
        <v>23.9</v>
      </c>
      <c r="EM120" s="29">
        <v>19.399999999999999</v>
      </c>
      <c r="EN120" s="29">
        <v>16.7</v>
      </c>
      <c r="EO120" s="29">
        <v>11.5</v>
      </c>
      <c r="EP120" s="29">
        <v>7.7</v>
      </c>
      <c r="EQ120" s="29">
        <v>5</v>
      </c>
    </row>
    <row r="121" spans="86:147">
      <c r="CH121" s="33">
        <v>39</v>
      </c>
      <c r="CI121" s="33">
        <f t="shared" si="37"/>
        <v>119.70833333333334</v>
      </c>
      <c r="CJ121" s="33">
        <f t="shared" si="38"/>
        <v>16.211798531658957</v>
      </c>
      <c r="CK121" s="33">
        <f t="shared" si="39"/>
        <v>0</v>
      </c>
      <c r="CL121" s="29">
        <v>38</v>
      </c>
      <c r="CN121" s="33">
        <v>39</v>
      </c>
      <c r="CO121" s="33">
        <f t="shared" si="40"/>
        <v>131.98611111111111</v>
      </c>
      <c r="CP121" s="33">
        <f t="shared" si="41"/>
        <v>43.021732980028503</v>
      </c>
      <c r="CQ121" s="33">
        <f t="shared" si="42"/>
        <v>0</v>
      </c>
      <c r="CR121" s="29">
        <v>38</v>
      </c>
      <c r="CT121" s="33">
        <v>39</v>
      </c>
      <c r="CU121" s="33">
        <f t="shared" si="43"/>
        <v>159.61111111111111</v>
      </c>
      <c r="CV121" s="33">
        <f t="shared" si="44"/>
        <v>86.249370440662204</v>
      </c>
      <c r="CW121" s="33">
        <f t="shared" si="45"/>
        <v>0</v>
      </c>
      <c r="CX121" s="29">
        <v>38</v>
      </c>
      <c r="CZ121" s="33">
        <v>39</v>
      </c>
      <c r="DA121" s="33">
        <f t="shared" si="46"/>
        <v>199.51388888888891</v>
      </c>
      <c r="DB121" s="33">
        <f t="shared" si="47"/>
        <v>174.5065776138247</v>
      </c>
      <c r="DC121" s="33">
        <f t="shared" si="48"/>
        <v>0</v>
      </c>
      <c r="DD121" s="29">
        <v>38</v>
      </c>
      <c r="DF121" s="60">
        <v>39</v>
      </c>
      <c r="DG121" s="60">
        <f t="shared" si="49"/>
        <v>291.59722222222223</v>
      </c>
      <c r="DH121" s="60">
        <f t="shared" si="50"/>
        <v>302.52008395301016</v>
      </c>
      <c r="DI121" s="60">
        <f t="shared" si="51"/>
        <v>10.922861730787929</v>
      </c>
      <c r="DJ121" s="51">
        <v>38</v>
      </c>
      <c r="DL121" s="60">
        <v>39</v>
      </c>
      <c r="DM121" s="60">
        <f t="shared" si="52"/>
        <v>420.51388888888891</v>
      </c>
      <c r="DN121" s="60" t="e">
        <f t="shared" si="53"/>
        <v>#VALUE!</v>
      </c>
      <c r="DO121" s="60" t="e">
        <f t="shared" si="54"/>
        <v>#VALUE!</v>
      </c>
      <c r="DP121" s="51">
        <v>38</v>
      </c>
      <c r="EG121" s="29"/>
      <c r="EH121" s="29">
        <v>15</v>
      </c>
      <c r="EI121" s="29">
        <v>54.2</v>
      </c>
      <c r="EJ121" s="29">
        <v>42.4</v>
      </c>
      <c r="EK121" s="29">
        <v>35.799999999999997</v>
      </c>
      <c r="EL121" s="29">
        <v>26</v>
      </c>
      <c r="EM121" s="29">
        <v>21.2</v>
      </c>
      <c r="EN121" s="29">
        <v>18.3</v>
      </c>
      <c r="EO121" s="29">
        <v>12.6</v>
      </c>
      <c r="EP121" s="29">
        <v>8.5</v>
      </c>
      <c r="EQ121" s="29">
        <v>6</v>
      </c>
    </row>
    <row r="122" spans="86:147">
      <c r="CH122" s="33">
        <v>40</v>
      </c>
      <c r="CI122" s="33">
        <f t="shared" si="37"/>
        <v>122.77777777777779</v>
      </c>
      <c r="CJ122" s="33">
        <f t="shared" si="38"/>
        <v>16.262754410996944</v>
      </c>
      <c r="CK122" s="33">
        <f t="shared" si="39"/>
        <v>0</v>
      </c>
      <c r="CL122" s="29">
        <v>39</v>
      </c>
      <c r="CN122" s="33">
        <v>40</v>
      </c>
      <c r="CO122" s="33">
        <f t="shared" si="40"/>
        <v>135.05555555555557</v>
      </c>
      <c r="CP122" s="33">
        <f t="shared" si="41"/>
        <v>43.114697585264636</v>
      </c>
      <c r="CQ122" s="33">
        <f t="shared" si="42"/>
        <v>0</v>
      </c>
      <c r="CR122" s="29">
        <v>39</v>
      </c>
      <c r="CT122" s="33">
        <v>40</v>
      </c>
      <c r="CU122" s="33">
        <f t="shared" si="43"/>
        <v>162.68055555555557</v>
      </c>
      <c r="CV122" s="33">
        <f t="shared" si="44"/>
        <v>86.391368748166968</v>
      </c>
      <c r="CW122" s="33">
        <f t="shared" si="45"/>
        <v>0</v>
      </c>
      <c r="CX122" s="29">
        <v>39</v>
      </c>
      <c r="CZ122" s="33">
        <v>40</v>
      </c>
      <c r="DA122" s="33">
        <f t="shared" si="46"/>
        <v>202.58333333333334</v>
      </c>
      <c r="DB122" s="33">
        <f t="shared" si="47"/>
        <v>174.72495511995416</v>
      </c>
      <c r="DC122" s="33">
        <f t="shared" si="48"/>
        <v>0</v>
      </c>
      <c r="DD122" s="29">
        <v>39</v>
      </c>
      <c r="DF122" s="60">
        <v>40</v>
      </c>
      <c r="DG122" s="60">
        <f t="shared" si="49"/>
        <v>294.66666666666669</v>
      </c>
      <c r="DH122" s="60">
        <f t="shared" si="50"/>
        <v>302.82437613938072</v>
      </c>
      <c r="DI122" s="60">
        <f t="shared" si="51"/>
        <v>8.157709472714032</v>
      </c>
      <c r="DJ122" s="51">
        <v>39</v>
      </c>
      <c r="DL122" s="60">
        <v>40</v>
      </c>
      <c r="DM122" s="60">
        <f t="shared" si="52"/>
        <v>423.58333333333337</v>
      </c>
      <c r="DN122" s="60" t="e">
        <f t="shared" si="53"/>
        <v>#VALUE!</v>
      </c>
      <c r="DO122" s="60" t="e">
        <f t="shared" si="54"/>
        <v>#VALUE!</v>
      </c>
      <c r="DP122" s="51">
        <v>39</v>
      </c>
      <c r="EG122" s="29"/>
      <c r="EH122" s="29">
        <v>20</v>
      </c>
      <c r="EI122" s="29">
        <v>57.2</v>
      </c>
      <c r="EJ122" s="29">
        <v>44.8</v>
      </c>
      <c r="EK122" s="29">
        <v>37.9</v>
      </c>
      <c r="EL122" s="29">
        <v>27.6</v>
      </c>
      <c r="EM122" s="29">
        <v>22.6</v>
      </c>
      <c r="EN122" s="29">
        <v>19.399999999999999</v>
      </c>
      <c r="EO122" s="29">
        <v>13.4</v>
      </c>
      <c r="EP122" s="29">
        <v>9</v>
      </c>
      <c r="EQ122" s="29">
        <v>6</v>
      </c>
    </row>
    <row r="123" spans="86:147">
      <c r="CH123" s="33">
        <v>41</v>
      </c>
      <c r="CI123" s="33">
        <f t="shared" si="37"/>
        <v>125.84722222222223</v>
      </c>
      <c r="CJ123" s="33">
        <f t="shared" si="38"/>
        <v>16.313710290334939</v>
      </c>
      <c r="CK123" s="33">
        <f t="shared" si="39"/>
        <v>0</v>
      </c>
      <c r="CL123" s="29">
        <v>40</v>
      </c>
      <c r="CN123" s="33">
        <v>41</v>
      </c>
      <c r="CO123" s="33">
        <f t="shared" si="40"/>
        <v>138.125</v>
      </c>
      <c r="CP123" s="33">
        <f t="shared" si="41"/>
        <v>43.207662190500777</v>
      </c>
      <c r="CQ123" s="33">
        <f t="shared" si="42"/>
        <v>0</v>
      </c>
      <c r="CR123" s="29">
        <v>40</v>
      </c>
      <c r="CT123" s="33">
        <v>41</v>
      </c>
      <c r="CU123" s="33">
        <f t="shared" si="43"/>
        <v>165.75</v>
      </c>
      <c r="CV123" s="33">
        <f t="shared" si="44"/>
        <v>86.533367055671746</v>
      </c>
      <c r="CW123" s="33">
        <f t="shared" si="45"/>
        <v>0</v>
      </c>
      <c r="CX123" s="29">
        <v>40</v>
      </c>
      <c r="CZ123" s="33">
        <v>41</v>
      </c>
      <c r="DA123" s="33">
        <f t="shared" si="46"/>
        <v>205.6527777777778</v>
      </c>
      <c r="DB123" s="33">
        <f t="shared" si="47"/>
        <v>174.94333262608365</v>
      </c>
      <c r="DC123" s="33">
        <f t="shared" si="48"/>
        <v>0</v>
      </c>
      <c r="DD123" s="29">
        <v>40</v>
      </c>
      <c r="DF123" s="60">
        <v>41</v>
      </c>
      <c r="DG123" s="60">
        <f t="shared" si="49"/>
        <v>297.73611111111114</v>
      </c>
      <c r="DH123" s="60">
        <f t="shared" si="50"/>
        <v>303.12866832575139</v>
      </c>
      <c r="DI123" s="60">
        <f t="shared" si="51"/>
        <v>5.3925572146402487</v>
      </c>
      <c r="DJ123" s="51">
        <v>40</v>
      </c>
      <c r="DL123" s="60">
        <v>41</v>
      </c>
      <c r="DM123" s="60">
        <f t="shared" si="52"/>
        <v>426.65277777777783</v>
      </c>
      <c r="DN123" s="60" t="e">
        <f t="shared" si="53"/>
        <v>#VALUE!</v>
      </c>
      <c r="DO123" s="60" t="e">
        <f t="shared" si="54"/>
        <v>#VALUE!</v>
      </c>
      <c r="DP123" s="51">
        <v>40</v>
      </c>
      <c r="EG123" s="29"/>
      <c r="EH123" s="29">
        <v>25</v>
      </c>
      <c r="EI123" s="29">
        <v>59.5</v>
      </c>
      <c r="EJ123" s="29">
        <v>46.7</v>
      </c>
      <c r="EK123" s="29">
        <v>39.6</v>
      </c>
      <c r="EL123" s="29">
        <v>28.9</v>
      </c>
      <c r="EM123" s="29">
        <v>23.7</v>
      </c>
      <c r="EN123" s="29">
        <v>20.399999999999999</v>
      </c>
      <c r="EO123" s="29">
        <v>14.1</v>
      </c>
      <c r="EP123" s="29">
        <v>9.5</v>
      </c>
      <c r="EQ123" s="29">
        <v>6</v>
      </c>
    </row>
    <row r="124" spans="86:147">
      <c r="CH124" s="33">
        <v>42</v>
      </c>
      <c r="CI124" s="33">
        <f t="shared" si="37"/>
        <v>128.91666666666669</v>
      </c>
      <c r="CJ124" s="33">
        <f t="shared" si="38"/>
        <v>16.364666169672933</v>
      </c>
      <c r="CK124" s="33">
        <f t="shared" si="39"/>
        <v>0</v>
      </c>
      <c r="CL124" s="29">
        <v>41</v>
      </c>
      <c r="CN124" s="33">
        <v>42</v>
      </c>
      <c r="CO124" s="33">
        <f t="shared" si="40"/>
        <v>141.19444444444446</v>
      </c>
      <c r="CP124" s="33">
        <f t="shared" si="41"/>
        <v>43.30062679573691</v>
      </c>
      <c r="CQ124" s="33">
        <f t="shared" si="42"/>
        <v>0</v>
      </c>
      <c r="CR124" s="29">
        <v>41</v>
      </c>
      <c r="CT124" s="33">
        <v>42</v>
      </c>
      <c r="CU124" s="33">
        <f t="shared" si="43"/>
        <v>168.81944444444446</v>
      </c>
      <c r="CV124" s="33">
        <f t="shared" si="44"/>
        <v>86.67536536317651</v>
      </c>
      <c r="CW124" s="33">
        <f t="shared" si="45"/>
        <v>0</v>
      </c>
      <c r="CX124" s="29">
        <v>41</v>
      </c>
      <c r="CZ124" s="33">
        <v>42</v>
      </c>
      <c r="DA124" s="33">
        <f t="shared" si="46"/>
        <v>208.72222222222223</v>
      </c>
      <c r="DB124" s="33">
        <f t="shared" si="47"/>
        <v>175.1617101322131</v>
      </c>
      <c r="DC124" s="33">
        <f t="shared" si="48"/>
        <v>0</v>
      </c>
      <c r="DD124" s="29">
        <v>41</v>
      </c>
      <c r="DF124" s="60">
        <v>42</v>
      </c>
      <c r="DG124" s="60">
        <f t="shared" si="49"/>
        <v>300.8055555555556</v>
      </c>
      <c r="DH124" s="60">
        <f t="shared" si="50"/>
        <v>303.43296051212207</v>
      </c>
      <c r="DI124" s="60">
        <f t="shared" si="51"/>
        <v>2.6274049565664654</v>
      </c>
      <c r="DJ124" s="51">
        <v>41</v>
      </c>
      <c r="DL124" s="60">
        <v>42</v>
      </c>
      <c r="DM124" s="60">
        <f t="shared" si="52"/>
        <v>429.72222222222223</v>
      </c>
      <c r="DN124" s="60" t="e">
        <f t="shared" si="53"/>
        <v>#VALUE!</v>
      </c>
      <c r="DO124" s="60" t="e">
        <f t="shared" si="54"/>
        <v>#VALUE!</v>
      </c>
      <c r="DP124" s="51">
        <v>41</v>
      </c>
      <c r="EG124" s="29"/>
      <c r="EH124" s="29">
        <v>30</v>
      </c>
      <c r="EI124" s="29">
        <v>61.5</v>
      </c>
      <c r="EJ124" s="29">
        <v>48.3</v>
      </c>
      <c r="EK124" s="29">
        <v>41</v>
      </c>
      <c r="EL124" s="29">
        <v>30.1</v>
      </c>
      <c r="EM124" s="29">
        <v>24.6</v>
      </c>
      <c r="EN124" s="29">
        <v>21.3</v>
      </c>
      <c r="EO124" s="29">
        <v>14.7</v>
      </c>
      <c r="EP124" s="29">
        <v>9.9</v>
      </c>
      <c r="EQ124" s="29">
        <v>6</v>
      </c>
    </row>
    <row r="125" spans="86:147">
      <c r="CH125" s="33">
        <v>43</v>
      </c>
      <c r="CI125" s="33">
        <f t="shared" si="37"/>
        <v>131.98611111111111</v>
      </c>
      <c r="CJ125" s="33">
        <f t="shared" si="38"/>
        <v>16.415622049010924</v>
      </c>
      <c r="CK125" s="33">
        <f t="shared" si="39"/>
        <v>0</v>
      </c>
      <c r="CL125" s="29">
        <v>42</v>
      </c>
      <c r="CN125" s="33">
        <v>43</v>
      </c>
      <c r="CO125" s="33">
        <f t="shared" si="40"/>
        <v>144.26388888888889</v>
      </c>
      <c r="CP125" s="33">
        <f t="shared" si="41"/>
        <v>43.393591400973051</v>
      </c>
      <c r="CQ125" s="33">
        <f t="shared" si="42"/>
        <v>0</v>
      </c>
      <c r="CR125" s="29">
        <v>42</v>
      </c>
      <c r="CT125" s="33">
        <v>43</v>
      </c>
      <c r="CU125" s="33">
        <f t="shared" si="43"/>
        <v>171.88888888888891</v>
      </c>
      <c r="CV125" s="33">
        <f t="shared" si="44"/>
        <v>86.817363670681274</v>
      </c>
      <c r="CW125" s="33">
        <f t="shared" si="45"/>
        <v>0</v>
      </c>
      <c r="CX125" s="29">
        <v>42</v>
      </c>
      <c r="CZ125" s="33">
        <v>43</v>
      </c>
      <c r="DA125" s="33">
        <f t="shared" si="46"/>
        <v>211.79166666666669</v>
      </c>
      <c r="DB125" s="33">
        <f t="shared" si="47"/>
        <v>175.38008763834253</v>
      </c>
      <c r="DC125" s="33">
        <f t="shared" si="48"/>
        <v>0</v>
      </c>
      <c r="DD125" s="29">
        <v>42</v>
      </c>
      <c r="DF125" s="60">
        <v>43</v>
      </c>
      <c r="DG125" s="60">
        <f t="shared" si="49"/>
        <v>303.875</v>
      </c>
      <c r="DH125" s="60">
        <f t="shared" si="50"/>
        <v>303.73725269849268</v>
      </c>
      <c r="DI125" s="60">
        <f t="shared" si="51"/>
        <v>0</v>
      </c>
      <c r="DJ125" s="51">
        <v>42</v>
      </c>
      <c r="DL125" s="60">
        <v>43</v>
      </c>
      <c r="DM125" s="60">
        <f t="shared" si="52"/>
        <v>432.79166666666669</v>
      </c>
      <c r="DN125" s="60" t="e">
        <f t="shared" si="53"/>
        <v>#VALUE!</v>
      </c>
      <c r="DO125" s="60" t="e">
        <f t="shared" si="54"/>
        <v>#VALUE!</v>
      </c>
      <c r="DP125" s="51">
        <v>42</v>
      </c>
      <c r="EG125" s="29"/>
      <c r="EH125" s="29">
        <v>50</v>
      </c>
      <c r="EI125" s="29">
        <v>67.5</v>
      </c>
      <c r="EJ125" s="29">
        <v>53.2</v>
      </c>
      <c r="EK125" s="29">
        <v>45.3</v>
      </c>
      <c r="EL125" s="29">
        <v>33.5</v>
      </c>
      <c r="EM125" s="29">
        <v>27.5</v>
      </c>
      <c r="EN125" s="29">
        <v>23.8</v>
      </c>
      <c r="EO125" s="29">
        <v>16.5</v>
      </c>
      <c r="EP125" s="29">
        <v>11.1</v>
      </c>
      <c r="EQ125" s="29">
        <v>7</v>
      </c>
    </row>
    <row r="126" spans="86:147">
      <c r="CH126" s="33">
        <v>44</v>
      </c>
      <c r="CI126" s="33">
        <f t="shared" si="37"/>
        <v>135.05555555555557</v>
      </c>
      <c r="CJ126" s="33">
        <f t="shared" si="38"/>
        <v>16.466577928348915</v>
      </c>
      <c r="CK126" s="33">
        <f t="shared" si="39"/>
        <v>0</v>
      </c>
      <c r="CL126" s="29">
        <v>43</v>
      </c>
      <c r="CN126" s="33">
        <v>44</v>
      </c>
      <c r="CO126" s="33">
        <f t="shared" si="40"/>
        <v>147.33333333333334</v>
      </c>
      <c r="CP126" s="33">
        <f t="shared" si="41"/>
        <v>43.486556006209184</v>
      </c>
      <c r="CQ126" s="33">
        <f t="shared" si="42"/>
        <v>0</v>
      </c>
      <c r="CR126" s="29">
        <v>43</v>
      </c>
      <c r="CT126" s="33">
        <v>44</v>
      </c>
      <c r="CU126" s="33">
        <f t="shared" si="43"/>
        <v>174.95833333333334</v>
      </c>
      <c r="CV126" s="33">
        <f t="shared" si="44"/>
        <v>86.959361978186053</v>
      </c>
      <c r="CW126" s="33">
        <f t="shared" si="45"/>
        <v>0</v>
      </c>
      <c r="CX126" s="29">
        <v>43</v>
      </c>
      <c r="CZ126" s="33">
        <v>44</v>
      </c>
      <c r="DA126" s="33">
        <f t="shared" si="46"/>
        <v>214.86111111111111</v>
      </c>
      <c r="DB126" s="33">
        <f t="shared" si="47"/>
        <v>175.59846514447196</v>
      </c>
      <c r="DC126" s="33">
        <f t="shared" si="48"/>
        <v>0</v>
      </c>
      <c r="DD126" s="29">
        <v>43</v>
      </c>
      <c r="DF126" s="60">
        <v>44</v>
      </c>
      <c r="DG126" s="60">
        <f t="shared" si="49"/>
        <v>306.94444444444446</v>
      </c>
      <c r="DH126" s="60">
        <f t="shared" si="50"/>
        <v>304.04154488486336</v>
      </c>
      <c r="DI126" s="60">
        <f t="shared" si="51"/>
        <v>0</v>
      </c>
      <c r="DJ126" s="51">
        <v>43</v>
      </c>
      <c r="DL126" s="60">
        <v>44</v>
      </c>
      <c r="DM126" s="60">
        <f t="shared" si="52"/>
        <v>435.86111111111114</v>
      </c>
      <c r="DN126" s="60" t="e">
        <f t="shared" si="53"/>
        <v>#VALUE!</v>
      </c>
      <c r="DO126" s="60" t="e">
        <f t="shared" si="54"/>
        <v>#VALUE!</v>
      </c>
      <c r="DP126" s="51">
        <v>43</v>
      </c>
      <c r="EG126" s="29"/>
      <c r="EH126" s="29">
        <v>100</v>
      </c>
      <c r="EI126" s="29">
        <v>76.599999999999994</v>
      </c>
      <c r="EJ126" s="29">
        <v>60.7</v>
      </c>
      <c r="EK126" s="29">
        <v>51.9</v>
      </c>
      <c r="EL126" s="29">
        <v>38.700000000000003</v>
      </c>
      <c r="EM126" s="29">
        <v>31.9</v>
      </c>
      <c r="EN126" s="29">
        <v>27.7</v>
      </c>
      <c r="EO126" s="29">
        <v>19.3</v>
      </c>
      <c r="EP126" s="29">
        <v>13</v>
      </c>
      <c r="EQ126" s="29">
        <v>8</v>
      </c>
    </row>
    <row r="127" spans="86:147">
      <c r="CH127" s="33">
        <v>45</v>
      </c>
      <c r="CI127" s="33">
        <f t="shared" si="37"/>
        <v>138.125</v>
      </c>
      <c r="CJ127" s="33">
        <f t="shared" si="38"/>
        <v>16.51753380768691</v>
      </c>
      <c r="CK127" s="33">
        <f t="shared" si="39"/>
        <v>0</v>
      </c>
      <c r="CL127" s="29">
        <v>44</v>
      </c>
      <c r="CN127" s="33">
        <v>45</v>
      </c>
      <c r="CO127" s="33">
        <f t="shared" si="40"/>
        <v>150.4027777777778</v>
      </c>
      <c r="CP127" s="33">
        <f t="shared" si="41"/>
        <v>43.579520611445318</v>
      </c>
      <c r="CQ127" s="33">
        <f t="shared" si="42"/>
        <v>0</v>
      </c>
      <c r="CR127" s="29">
        <v>44</v>
      </c>
      <c r="CT127" s="33">
        <v>45</v>
      </c>
      <c r="CU127" s="33">
        <f t="shared" si="43"/>
        <v>178.0277777777778</v>
      </c>
      <c r="CV127" s="33">
        <f t="shared" si="44"/>
        <v>87.101360285690816</v>
      </c>
      <c r="CW127" s="33">
        <f t="shared" si="45"/>
        <v>0</v>
      </c>
      <c r="CX127" s="29">
        <v>44</v>
      </c>
      <c r="CZ127" s="33">
        <v>45</v>
      </c>
      <c r="DA127" s="33">
        <f t="shared" si="46"/>
        <v>217.93055555555557</v>
      </c>
      <c r="DB127" s="33">
        <f t="shared" si="47"/>
        <v>175.81684265060144</v>
      </c>
      <c r="DC127" s="33">
        <f t="shared" si="48"/>
        <v>0</v>
      </c>
      <c r="DD127" s="29">
        <v>44</v>
      </c>
      <c r="DF127" s="60">
        <v>45</v>
      </c>
      <c r="DG127" s="60">
        <f t="shared" si="49"/>
        <v>310.01388888888891</v>
      </c>
      <c r="DH127" s="60">
        <f t="shared" si="50"/>
        <v>304.34583707123397</v>
      </c>
      <c r="DI127" s="60">
        <f t="shared" si="51"/>
        <v>0</v>
      </c>
      <c r="DJ127" s="51">
        <v>44</v>
      </c>
      <c r="DL127" s="60">
        <v>45</v>
      </c>
      <c r="DM127" s="60">
        <f t="shared" si="52"/>
        <v>438.9305555555556</v>
      </c>
      <c r="DN127" s="60" t="e">
        <f t="shared" si="53"/>
        <v>#VALUE!</v>
      </c>
      <c r="DO127" s="60" t="e">
        <f t="shared" si="54"/>
        <v>#VALUE!</v>
      </c>
      <c r="DP127" s="51">
        <v>44</v>
      </c>
      <c r="EG127" s="29"/>
      <c r="EH127" s="29">
        <v>500</v>
      </c>
      <c r="EI127" s="29">
        <v>102.5</v>
      </c>
      <c r="EJ127" s="29">
        <v>82.3</v>
      </c>
      <c r="EK127" s="29">
        <v>71</v>
      </c>
      <c r="EL127" s="29">
        <v>54.2</v>
      </c>
      <c r="EM127" s="29">
        <v>45.2</v>
      </c>
      <c r="EN127" s="29">
        <v>39.4</v>
      </c>
      <c r="EO127" s="29">
        <v>27.8</v>
      </c>
      <c r="EP127" s="29">
        <v>18.7</v>
      </c>
      <c r="EQ127" s="29">
        <v>12</v>
      </c>
    </row>
    <row r="128" spans="86:147">
      <c r="CH128" s="33">
        <v>46</v>
      </c>
      <c r="CI128" s="33">
        <f t="shared" si="37"/>
        <v>141.19444444444446</v>
      </c>
      <c r="CJ128" s="33">
        <f t="shared" si="38"/>
        <v>16.568489687024901</v>
      </c>
      <c r="CK128" s="33">
        <f t="shared" si="39"/>
        <v>0</v>
      </c>
      <c r="CL128" s="29">
        <v>45</v>
      </c>
      <c r="CN128" s="33">
        <v>46</v>
      </c>
      <c r="CO128" s="33">
        <f t="shared" si="40"/>
        <v>153.47222222222223</v>
      </c>
      <c r="CP128" s="33">
        <f t="shared" si="41"/>
        <v>43.672485216681451</v>
      </c>
      <c r="CQ128" s="33">
        <f t="shared" si="42"/>
        <v>0</v>
      </c>
      <c r="CR128" s="29">
        <v>45</v>
      </c>
      <c r="CT128" s="33">
        <v>46</v>
      </c>
      <c r="CU128" s="33">
        <f t="shared" si="43"/>
        <v>181.09722222222223</v>
      </c>
      <c r="CV128" s="33">
        <f t="shared" si="44"/>
        <v>87.243358593195595</v>
      </c>
      <c r="CW128" s="33">
        <f t="shared" si="45"/>
        <v>0</v>
      </c>
      <c r="CX128" s="29">
        <v>45</v>
      </c>
      <c r="CZ128" s="33">
        <v>46</v>
      </c>
      <c r="DA128" s="33">
        <f t="shared" si="46"/>
        <v>221</v>
      </c>
      <c r="DB128" s="33">
        <f t="shared" si="47"/>
        <v>176.0352201567309</v>
      </c>
      <c r="DC128" s="33">
        <f t="shared" si="48"/>
        <v>0</v>
      </c>
      <c r="DD128" s="29">
        <v>45</v>
      </c>
      <c r="DF128" s="60">
        <v>46</v>
      </c>
      <c r="DG128" s="60">
        <f t="shared" si="49"/>
        <v>313.08333333333337</v>
      </c>
      <c r="DH128" s="60">
        <f t="shared" si="50"/>
        <v>304.65012925760465</v>
      </c>
      <c r="DI128" s="60">
        <f t="shared" si="51"/>
        <v>0</v>
      </c>
      <c r="DJ128" s="51">
        <v>45</v>
      </c>
      <c r="DL128" s="60">
        <v>46</v>
      </c>
      <c r="DM128" s="60">
        <f t="shared" si="52"/>
        <v>442</v>
      </c>
      <c r="DN128" s="60" t="e">
        <f t="shared" si="53"/>
        <v>#VALUE!</v>
      </c>
      <c r="DO128" s="60" t="e">
        <f t="shared" si="54"/>
        <v>#VALUE!</v>
      </c>
      <c r="DP128" s="51">
        <v>45</v>
      </c>
      <c r="EG128" s="29"/>
      <c r="EH128" s="29">
        <v>1000</v>
      </c>
      <c r="EI128" s="29">
        <v>116.3</v>
      </c>
      <c r="EJ128" s="29">
        <v>93.9</v>
      </c>
      <c r="EK128" s="29">
        <v>81.3</v>
      </c>
      <c r="EL128" s="29">
        <v>62.7</v>
      </c>
      <c r="EM128" s="29">
        <v>52.5</v>
      </c>
      <c r="EN128" s="29">
        <v>45.9</v>
      </c>
      <c r="EO128" s="29">
        <v>32.5</v>
      </c>
      <c r="EP128" s="29">
        <v>21.8</v>
      </c>
      <c r="EQ128" s="29">
        <v>14</v>
      </c>
    </row>
    <row r="129" spans="86:147">
      <c r="CH129" s="33">
        <v>47</v>
      </c>
      <c r="CI129" s="33">
        <f t="shared" si="37"/>
        <v>144.26388888888889</v>
      </c>
      <c r="CJ129" s="33">
        <f t="shared" si="38"/>
        <v>16.619445566362891</v>
      </c>
      <c r="CK129" s="33">
        <f t="shared" si="39"/>
        <v>0</v>
      </c>
      <c r="CL129" s="29">
        <v>46</v>
      </c>
      <c r="CN129" s="33">
        <v>47</v>
      </c>
      <c r="CO129" s="33">
        <f t="shared" si="40"/>
        <v>156.54166666666669</v>
      </c>
      <c r="CP129" s="33">
        <f t="shared" si="41"/>
        <v>43.765449821917585</v>
      </c>
      <c r="CQ129" s="33">
        <f t="shared" si="42"/>
        <v>0</v>
      </c>
      <c r="CR129" s="29">
        <v>46</v>
      </c>
      <c r="CT129" s="33">
        <v>47</v>
      </c>
      <c r="CU129" s="33">
        <f t="shared" si="43"/>
        <v>184.16666666666669</v>
      </c>
      <c r="CV129" s="33">
        <f t="shared" si="44"/>
        <v>87.385356900700359</v>
      </c>
      <c r="CW129" s="33">
        <f t="shared" si="45"/>
        <v>0</v>
      </c>
      <c r="CX129" s="29">
        <v>46</v>
      </c>
      <c r="CZ129" s="33">
        <v>47</v>
      </c>
      <c r="DA129" s="33">
        <f t="shared" si="46"/>
        <v>224.06944444444446</v>
      </c>
      <c r="DB129" s="33">
        <f t="shared" si="47"/>
        <v>176.25359766286036</v>
      </c>
      <c r="DC129" s="33">
        <f t="shared" si="48"/>
        <v>0</v>
      </c>
      <c r="DD129" s="29">
        <v>46</v>
      </c>
      <c r="DF129" s="60">
        <v>47</v>
      </c>
      <c r="DG129" s="60">
        <f t="shared" si="49"/>
        <v>316.15277777777777</v>
      </c>
      <c r="DH129" s="60">
        <f t="shared" si="50"/>
        <v>304.95442144397526</v>
      </c>
      <c r="DI129" s="60">
        <f t="shared" si="51"/>
        <v>0</v>
      </c>
      <c r="DJ129" s="51">
        <v>46</v>
      </c>
      <c r="DL129" s="60">
        <v>47</v>
      </c>
      <c r="DM129" s="60">
        <f t="shared" si="52"/>
        <v>445.06944444444446</v>
      </c>
      <c r="DN129" s="60" t="e">
        <f t="shared" si="53"/>
        <v>#VALUE!</v>
      </c>
      <c r="DO129" s="60" t="e">
        <f t="shared" si="54"/>
        <v>#VALUE!</v>
      </c>
      <c r="DP129" s="51">
        <v>46</v>
      </c>
    </row>
    <row r="130" spans="86:147">
      <c r="CH130" s="33">
        <v>48</v>
      </c>
      <c r="CI130" s="33">
        <f t="shared" si="37"/>
        <v>147.33333333333334</v>
      </c>
      <c r="CJ130" s="33">
        <f t="shared" si="38"/>
        <v>16.670401445700882</v>
      </c>
      <c r="CK130" s="33">
        <f t="shared" si="39"/>
        <v>0</v>
      </c>
      <c r="CL130" s="29">
        <v>47</v>
      </c>
      <c r="CN130" s="33">
        <v>48</v>
      </c>
      <c r="CO130" s="33">
        <f t="shared" si="40"/>
        <v>159.61111111111111</v>
      </c>
      <c r="CP130" s="33">
        <f t="shared" si="41"/>
        <v>43.858414427153718</v>
      </c>
      <c r="CQ130" s="33">
        <f t="shared" si="42"/>
        <v>0</v>
      </c>
      <c r="CR130" s="29">
        <v>47</v>
      </c>
      <c r="CT130" s="33">
        <v>48</v>
      </c>
      <c r="CU130" s="33">
        <f t="shared" si="43"/>
        <v>187.23611111111111</v>
      </c>
      <c r="CV130" s="33">
        <f t="shared" si="44"/>
        <v>87.527355208205122</v>
      </c>
      <c r="CW130" s="33">
        <f t="shared" si="45"/>
        <v>0</v>
      </c>
      <c r="CX130" s="29">
        <v>47</v>
      </c>
      <c r="CZ130" s="33">
        <v>48</v>
      </c>
      <c r="DA130" s="33">
        <f t="shared" si="46"/>
        <v>227.13888888888891</v>
      </c>
      <c r="DB130" s="33">
        <f t="shared" si="47"/>
        <v>176.47197516898981</v>
      </c>
      <c r="DC130" s="33">
        <f t="shared" si="48"/>
        <v>0</v>
      </c>
      <c r="DD130" s="29">
        <v>47</v>
      </c>
      <c r="DF130" s="60">
        <v>48</v>
      </c>
      <c r="DG130" s="60">
        <f t="shared" si="49"/>
        <v>319.22222222222223</v>
      </c>
      <c r="DH130" s="60">
        <f t="shared" si="50"/>
        <v>305.25871363034588</v>
      </c>
      <c r="DI130" s="60">
        <f t="shared" si="51"/>
        <v>0</v>
      </c>
      <c r="DJ130" s="51">
        <v>47</v>
      </c>
      <c r="DL130" s="60">
        <v>48</v>
      </c>
      <c r="DM130" s="60">
        <f t="shared" si="52"/>
        <v>448.13888888888891</v>
      </c>
      <c r="DN130" s="60" t="e">
        <f t="shared" si="53"/>
        <v>#VALUE!</v>
      </c>
      <c r="DO130" s="60" t="e">
        <f t="shared" si="54"/>
        <v>#VALUE!</v>
      </c>
      <c r="DP130" s="51">
        <v>47</v>
      </c>
      <c r="EG130" s="29" t="s">
        <v>36</v>
      </c>
      <c r="EH130" s="29" t="s">
        <v>16</v>
      </c>
      <c r="EI130" s="29" t="s">
        <v>37</v>
      </c>
      <c r="EJ130" s="29"/>
      <c r="EK130" s="29"/>
      <c r="EL130" s="29"/>
      <c r="EM130" s="29"/>
      <c r="EN130" s="29"/>
      <c r="EO130" s="29"/>
    </row>
    <row r="131" spans="86:147">
      <c r="CH131" s="33">
        <v>49</v>
      </c>
      <c r="CI131" s="33">
        <f t="shared" si="37"/>
        <v>150.4027777777778</v>
      </c>
      <c r="CJ131" s="33">
        <f t="shared" si="38"/>
        <v>16.721357325038877</v>
      </c>
      <c r="CK131" s="33">
        <f t="shared" si="39"/>
        <v>0</v>
      </c>
      <c r="CL131" s="29">
        <v>48</v>
      </c>
      <c r="CN131" s="33">
        <v>49</v>
      </c>
      <c r="CO131" s="33">
        <f t="shared" si="40"/>
        <v>162.68055555555557</v>
      </c>
      <c r="CP131" s="33">
        <f t="shared" si="41"/>
        <v>43.951379032389859</v>
      </c>
      <c r="CQ131" s="33">
        <f t="shared" si="42"/>
        <v>0</v>
      </c>
      <c r="CR131" s="29">
        <v>48</v>
      </c>
      <c r="CT131" s="33">
        <v>49</v>
      </c>
      <c r="CU131" s="33">
        <f t="shared" si="43"/>
        <v>190.30555555555557</v>
      </c>
      <c r="CV131" s="33">
        <f t="shared" si="44"/>
        <v>87.669353515709901</v>
      </c>
      <c r="CW131" s="33">
        <f t="shared" si="45"/>
        <v>0</v>
      </c>
      <c r="CX131" s="29">
        <v>48</v>
      </c>
      <c r="CZ131" s="33">
        <v>49</v>
      </c>
      <c r="DA131" s="33">
        <f t="shared" si="46"/>
        <v>230.20833333333334</v>
      </c>
      <c r="DB131" s="33">
        <f t="shared" si="47"/>
        <v>176.69035267511927</v>
      </c>
      <c r="DC131" s="33">
        <f t="shared" si="48"/>
        <v>0</v>
      </c>
      <c r="DD131" s="29">
        <v>48</v>
      </c>
      <c r="DF131" s="60">
        <v>49</v>
      </c>
      <c r="DG131" s="60">
        <f t="shared" si="49"/>
        <v>322.29166666666669</v>
      </c>
      <c r="DH131" s="60">
        <f t="shared" si="50"/>
        <v>305.56300581671655</v>
      </c>
      <c r="DI131" s="60">
        <f t="shared" si="51"/>
        <v>0</v>
      </c>
      <c r="DJ131" s="51">
        <v>48</v>
      </c>
      <c r="DL131" s="60">
        <v>49</v>
      </c>
      <c r="DM131" s="60">
        <f t="shared" si="52"/>
        <v>451.20833333333337</v>
      </c>
      <c r="DN131" s="60" t="e">
        <f t="shared" si="53"/>
        <v>#VALUE!</v>
      </c>
      <c r="DO131" s="60" t="e">
        <f t="shared" si="54"/>
        <v>#VALUE!</v>
      </c>
      <c r="DP131" s="51">
        <v>48</v>
      </c>
      <c r="EG131" s="29"/>
      <c r="EH131" s="29"/>
      <c r="EI131" s="29">
        <v>5</v>
      </c>
      <c r="EJ131" s="29">
        <v>10</v>
      </c>
      <c r="EK131" s="29">
        <v>15</v>
      </c>
      <c r="EL131" s="29">
        <v>30</v>
      </c>
      <c r="EM131" s="29">
        <v>45</v>
      </c>
      <c r="EN131" s="29">
        <v>60</v>
      </c>
      <c r="EO131" s="29">
        <v>120</v>
      </c>
      <c r="EP131" s="29">
        <v>240</v>
      </c>
      <c r="EQ131" s="29">
        <v>480</v>
      </c>
    </row>
    <row r="132" spans="86:147">
      <c r="CH132" s="33">
        <v>50</v>
      </c>
      <c r="CI132" s="33">
        <f t="shared" si="37"/>
        <v>153.47222222222223</v>
      </c>
      <c r="CJ132" s="33">
        <f t="shared" si="38"/>
        <v>16.772313204376868</v>
      </c>
      <c r="CK132" s="33">
        <f t="shared" si="39"/>
        <v>0</v>
      </c>
      <c r="CL132" s="29">
        <v>49</v>
      </c>
      <c r="CN132" s="33">
        <v>50</v>
      </c>
      <c r="CO132" s="33">
        <f t="shared" si="40"/>
        <v>165.75</v>
      </c>
      <c r="CP132" s="33">
        <f t="shared" si="41"/>
        <v>44.044343637625992</v>
      </c>
      <c r="CQ132" s="33">
        <f t="shared" si="42"/>
        <v>0</v>
      </c>
      <c r="CR132" s="29">
        <v>49</v>
      </c>
      <c r="CT132" s="33">
        <v>50</v>
      </c>
      <c r="CU132" s="33">
        <f t="shared" si="43"/>
        <v>193.375</v>
      </c>
      <c r="CV132" s="33">
        <f t="shared" si="44"/>
        <v>87.811351823214665</v>
      </c>
      <c r="CW132" s="33">
        <f t="shared" si="45"/>
        <v>0</v>
      </c>
      <c r="CX132" s="29">
        <v>49</v>
      </c>
      <c r="CZ132" s="33">
        <v>50</v>
      </c>
      <c r="DA132" s="33">
        <f t="shared" si="46"/>
        <v>233.2777777777778</v>
      </c>
      <c r="DB132" s="33">
        <f t="shared" si="47"/>
        <v>176.9087301812487</v>
      </c>
      <c r="DC132" s="33">
        <f t="shared" si="48"/>
        <v>0</v>
      </c>
      <c r="DD132" s="29">
        <v>49</v>
      </c>
      <c r="DF132" s="60">
        <v>50</v>
      </c>
      <c r="DG132" s="60">
        <f t="shared" si="49"/>
        <v>325.36111111111114</v>
      </c>
      <c r="DH132" s="60">
        <f t="shared" si="50"/>
        <v>305.86729800308723</v>
      </c>
      <c r="DI132" s="60">
        <f t="shared" si="51"/>
        <v>0</v>
      </c>
      <c r="DJ132" s="51">
        <v>49</v>
      </c>
      <c r="DL132" s="60">
        <v>50</v>
      </c>
      <c r="DM132" s="60">
        <f t="shared" si="52"/>
        <v>454.27777777777783</v>
      </c>
      <c r="DN132" s="60" t="e">
        <f t="shared" si="53"/>
        <v>#VALUE!</v>
      </c>
      <c r="DO132" s="60" t="e">
        <f t="shared" si="54"/>
        <v>#VALUE!</v>
      </c>
      <c r="DP132" s="51">
        <v>49</v>
      </c>
      <c r="EG132" s="29" t="s">
        <v>38</v>
      </c>
      <c r="EH132" s="29">
        <v>1</v>
      </c>
      <c r="EI132" s="29">
        <v>40.1</v>
      </c>
      <c r="EJ132" s="29">
        <v>29.9</v>
      </c>
      <c r="EK132" s="29">
        <v>24.7</v>
      </c>
      <c r="EL132" s="29">
        <v>17.7</v>
      </c>
      <c r="EM132" s="29">
        <v>14.5</v>
      </c>
      <c r="EN132" s="29">
        <v>12.7</v>
      </c>
      <c r="EO132" s="29">
        <v>9</v>
      </c>
      <c r="EP132" s="29">
        <v>6.4</v>
      </c>
      <c r="EQ132" s="29">
        <v>4</v>
      </c>
    </row>
    <row r="133" spans="86:147">
      <c r="CH133" s="33">
        <v>51</v>
      </c>
      <c r="CI133" s="33">
        <f t="shared" si="37"/>
        <v>156.54166666666669</v>
      </c>
      <c r="CJ133" s="33">
        <f t="shared" si="38"/>
        <v>16.823269083714859</v>
      </c>
      <c r="CK133" s="33">
        <f t="shared" si="39"/>
        <v>0</v>
      </c>
      <c r="CL133" s="29">
        <v>50</v>
      </c>
      <c r="CN133" s="33">
        <v>51</v>
      </c>
      <c r="CO133" s="33">
        <f t="shared" si="40"/>
        <v>168.81944444444446</v>
      </c>
      <c r="CP133" s="33">
        <f t="shared" si="41"/>
        <v>44.137308242862126</v>
      </c>
      <c r="CQ133" s="33">
        <f t="shared" si="42"/>
        <v>0</v>
      </c>
      <c r="CR133" s="29">
        <v>50</v>
      </c>
      <c r="CT133" s="33">
        <v>51</v>
      </c>
      <c r="CU133" s="33">
        <f t="shared" si="43"/>
        <v>196.44444444444446</v>
      </c>
      <c r="CV133" s="33">
        <f t="shared" si="44"/>
        <v>87.953350130719429</v>
      </c>
      <c r="CW133" s="33">
        <f t="shared" si="45"/>
        <v>0</v>
      </c>
      <c r="CX133" s="29">
        <v>50</v>
      </c>
      <c r="CZ133" s="33">
        <v>51</v>
      </c>
      <c r="DA133" s="33">
        <f t="shared" si="46"/>
        <v>236.34722222222223</v>
      </c>
      <c r="DB133" s="33">
        <f t="shared" si="47"/>
        <v>177.12710768737816</v>
      </c>
      <c r="DC133" s="33">
        <f t="shared" si="48"/>
        <v>0</v>
      </c>
      <c r="DD133" s="29">
        <v>50</v>
      </c>
      <c r="DF133" s="60">
        <v>51</v>
      </c>
      <c r="DG133" s="60">
        <f t="shared" si="49"/>
        <v>328.4305555555556</v>
      </c>
      <c r="DH133" s="60">
        <f t="shared" si="50"/>
        <v>306.17159018945785</v>
      </c>
      <c r="DI133" s="60">
        <f t="shared" si="51"/>
        <v>0</v>
      </c>
      <c r="DJ133" s="51">
        <v>50</v>
      </c>
      <c r="DL133" s="60">
        <v>51</v>
      </c>
      <c r="DM133" s="60">
        <f t="shared" si="52"/>
        <v>457.34722222222223</v>
      </c>
      <c r="DN133" s="60" t="e">
        <f t="shared" si="53"/>
        <v>#VALUE!</v>
      </c>
      <c r="DO133" s="60" t="e">
        <f t="shared" si="54"/>
        <v>#VALUE!</v>
      </c>
      <c r="DP133" s="51">
        <v>50</v>
      </c>
      <c r="EG133" s="29">
        <v>20</v>
      </c>
      <c r="EH133" s="29">
        <v>2</v>
      </c>
      <c r="EI133" s="29">
        <v>47.9</v>
      </c>
      <c r="EJ133" s="29">
        <v>37.5</v>
      </c>
      <c r="EK133" s="29">
        <v>31.6</v>
      </c>
      <c r="EL133" s="29">
        <v>22.9</v>
      </c>
      <c r="EM133" s="29">
        <v>18.7</v>
      </c>
      <c r="EN133" s="29">
        <v>16.100000000000001</v>
      </c>
      <c r="EO133" s="29">
        <v>11.2</v>
      </c>
      <c r="EP133" s="29">
        <v>7.7</v>
      </c>
      <c r="EQ133" s="29">
        <v>5</v>
      </c>
    </row>
    <row r="134" spans="86:147">
      <c r="CH134" s="33">
        <v>52</v>
      </c>
      <c r="CI134" s="33">
        <f t="shared" si="37"/>
        <v>159.61111111111111</v>
      </c>
      <c r="CJ134" s="33">
        <f t="shared" si="38"/>
        <v>16.874224963052853</v>
      </c>
      <c r="CK134" s="33">
        <f t="shared" si="39"/>
        <v>0</v>
      </c>
      <c r="CL134" s="29">
        <v>51</v>
      </c>
      <c r="CN134" s="33">
        <v>52</v>
      </c>
      <c r="CO134" s="33">
        <f t="shared" si="40"/>
        <v>171.88888888888891</v>
      </c>
      <c r="CP134" s="33">
        <f t="shared" si="41"/>
        <v>44.230272848098259</v>
      </c>
      <c r="CQ134" s="33">
        <f t="shared" si="42"/>
        <v>0</v>
      </c>
      <c r="CR134" s="29">
        <v>51</v>
      </c>
      <c r="CT134" s="33">
        <v>52</v>
      </c>
      <c r="CU134" s="33">
        <f t="shared" si="43"/>
        <v>199.51388888888891</v>
      </c>
      <c r="CV134" s="33">
        <f t="shared" si="44"/>
        <v>88.095348438224207</v>
      </c>
      <c r="CW134" s="33">
        <f t="shared" si="45"/>
        <v>0</v>
      </c>
      <c r="CX134" s="29">
        <v>51</v>
      </c>
      <c r="CZ134" s="33">
        <v>52</v>
      </c>
      <c r="DA134" s="33">
        <f t="shared" si="46"/>
        <v>239.41666666666669</v>
      </c>
      <c r="DB134" s="33">
        <f t="shared" si="47"/>
        <v>177.34548519350761</v>
      </c>
      <c r="DC134" s="33">
        <f t="shared" si="48"/>
        <v>0</v>
      </c>
      <c r="DD134" s="29">
        <v>51</v>
      </c>
      <c r="DF134" s="60">
        <v>52</v>
      </c>
      <c r="DG134" s="60">
        <f t="shared" si="49"/>
        <v>331.5</v>
      </c>
      <c r="DH134" s="60">
        <f t="shared" si="50"/>
        <v>306.47588237582846</v>
      </c>
      <c r="DI134" s="60">
        <f t="shared" si="51"/>
        <v>0</v>
      </c>
      <c r="DJ134" s="51">
        <v>51</v>
      </c>
      <c r="DL134" s="60">
        <v>52</v>
      </c>
      <c r="DM134" s="60">
        <f t="shared" si="52"/>
        <v>460.41666666666669</v>
      </c>
      <c r="DN134" s="60" t="e">
        <f t="shared" si="53"/>
        <v>#VALUE!</v>
      </c>
      <c r="DO134" s="60" t="e">
        <f t="shared" si="54"/>
        <v>#VALUE!</v>
      </c>
      <c r="DP134" s="51">
        <v>51</v>
      </c>
      <c r="EG134" s="29" t="s">
        <v>39</v>
      </c>
      <c r="EH134" s="29">
        <v>5</v>
      </c>
      <c r="EI134" s="29">
        <v>63.5</v>
      </c>
      <c r="EJ134" s="29">
        <v>49.3</v>
      </c>
      <c r="EK134" s="29">
        <v>41.3</v>
      </c>
      <c r="EL134" s="29">
        <v>29.5</v>
      </c>
      <c r="EM134" s="29">
        <v>23.9</v>
      </c>
      <c r="EN134" s="29">
        <v>20.5</v>
      </c>
      <c r="EO134" s="29">
        <v>14</v>
      </c>
      <c r="EP134" s="29">
        <v>9.4</v>
      </c>
      <c r="EQ134" s="29">
        <v>6</v>
      </c>
    </row>
    <row r="135" spans="86:147">
      <c r="CH135" s="33">
        <v>53</v>
      </c>
      <c r="CI135" s="33">
        <f t="shared" si="37"/>
        <v>162.68055555555557</v>
      </c>
      <c r="CJ135" s="33">
        <f t="shared" si="38"/>
        <v>16.925180842390844</v>
      </c>
      <c r="CK135" s="33">
        <f t="shared" si="39"/>
        <v>0</v>
      </c>
      <c r="CL135" s="29">
        <v>52</v>
      </c>
      <c r="CN135" s="33">
        <v>53</v>
      </c>
      <c r="CO135" s="33">
        <f t="shared" si="40"/>
        <v>174.95833333333334</v>
      </c>
      <c r="CP135" s="33">
        <f t="shared" si="41"/>
        <v>44.323237453334393</v>
      </c>
      <c r="CQ135" s="33">
        <f t="shared" si="42"/>
        <v>0</v>
      </c>
      <c r="CR135" s="29">
        <v>52</v>
      </c>
      <c r="CT135" s="33">
        <v>53</v>
      </c>
      <c r="CU135" s="33">
        <f t="shared" si="43"/>
        <v>202.58333333333334</v>
      </c>
      <c r="CV135" s="33">
        <f t="shared" si="44"/>
        <v>88.237346745728971</v>
      </c>
      <c r="CW135" s="33">
        <f t="shared" si="45"/>
        <v>0</v>
      </c>
      <c r="CX135" s="29">
        <v>52</v>
      </c>
      <c r="CZ135" s="33">
        <v>53</v>
      </c>
      <c r="DA135" s="33">
        <f t="shared" si="46"/>
        <v>242.48611111111111</v>
      </c>
      <c r="DB135" s="33">
        <f t="shared" si="47"/>
        <v>177.5638626996371</v>
      </c>
      <c r="DC135" s="33">
        <f t="shared" si="48"/>
        <v>0</v>
      </c>
      <c r="DD135" s="29">
        <v>52</v>
      </c>
      <c r="DF135" s="60">
        <v>53</v>
      </c>
      <c r="DG135" s="60">
        <f t="shared" si="49"/>
        <v>334.56944444444446</v>
      </c>
      <c r="DH135" s="60">
        <f t="shared" si="50"/>
        <v>306.78017456219914</v>
      </c>
      <c r="DI135" s="60">
        <f t="shared" si="51"/>
        <v>0</v>
      </c>
      <c r="DJ135" s="51">
        <v>52</v>
      </c>
      <c r="DL135" s="60">
        <v>53</v>
      </c>
      <c r="DM135" s="60">
        <f t="shared" si="52"/>
        <v>463.48611111111114</v>
      </c>
      <c r="DN135" s="60" t="e">
        <f t="shared" si="53"/>
        <v>#VALUE!</v>
      </c>
      <c r="DO135" s="60" t="e">
        <f t="shared" si="54"/>
        <v>#VALUE!</v>
      </c>
      <c r="DP135" s="51">
        <v>52</v>
      </c>
      <c r="EG135" s="29">
        <v>0.2</v>
      </c>
      <c r="EH135" s="29">
        <v>10</v>
      </c>
      <c r="EI135" s="29">
        <v>72.3</v>
      </c>
      <c r="EJ135" s="29">
        <v>56.6</v>
      </c>
      <c r="EK135" s="29">
        <v>47.8</v>
      </c>
      <c r="EL135" s="29">
        <v>34.4</v>
      </c>
      <c r="EM135" s="29">
        <v>28</v>
      </c>
      <c r="EN135" s="29">
        <v>24</v>
      </c>
      <c r="EO135" s="29">
        <v>16.3</v>
      </c>
      <c r="EP135" s="29">
        <v>10.9</v>
      </c>
      <c r="EQ135" s="29">
        <v>7</v>
      </c>
    </row>
    <row r="136" spans="86:147">
      <c r="CH136" s="33">
        <v>54</v>
      </c>
      <c r="CI136" s="33">
        <f t="shared" si="37"/>
        <v>165.75</v>
      </c>
      <c r="CJ136" s="33">
        <f t="shared" si="38"/>
        <v>16.976136721728835</v>
      </c>
      <c r="CK136" s="33">
        <f t="shared" si="39"/>
        <v>0</v>
      </c>
      <c r="CL136" s="29">
        <v>53</v>
      </c>
      <c r="CN136" s="33">
        <v>54</v>
      </c>
      <c r="CO136" s="33">
        <f t="shared" si="40"/>
        <v>178.0277777777778</v>
      </c>
      <c r="CP136" s="33">
        <f t="shared" si="41"/>
        <v>44.416202058570533</v>
      </c>
      <c r="CQ136" s="33">
        <f t="shared" si="42"/>
        <v>0</v>
      </c>
      <c r="CR136" s="29">
        <v>53</v>
      </c>
      <c r="CT136" s="33">
        <v>54</v>
      </c>
      <c r="CU136" s="33">
        <f t="shared" si="43"/>
        <v>205.6527777777778</v>
      </c>
      <c r="CV136" s="33">
        <f t="shared" si="44"/>
        <v>88.379345053233735</v>
      </c>
      <c r="CW136" s="33">
        <f t="shared" si="45"/>
        <v>0</v>
      </c>
      <c r="CX136" s="29">
        <v>53</v>
      </c>
      <c r="CZ136" s="33">
        <v>54</v>
      </c>
      <c r="DA136" s="33">
        <f t="shared" si="46"/>
        <v>245.55555555555557</v>
      </c>
      <c r="DB136" s="33">
        <f t="shared" si="47"/>
        <v>177.78224020576656</v>
      </c>
      <c r="DC136" s="33">
        <f t="shared" si="48"/>
        <v>0</v>
      </c>
      <c r="DD136" s="29">
        <v>53</v>
      </c>
      <c r="DF136" s="60">
        <v>54</v>
      </c>
      <c r="DG136" s="60">
        <f t="shared" si="49"/>
        <v>337.63888888888891</v>
      </c>
      <c r="DH136" s="60">
        <f t="shared" si="50"/>
        <v>307.08446674856975</v>
      </c>
      <c r="DI136" s="60">
        <f t="shared" si="51"/>
        <v>0</v>
      </c>
      <c r="DJ136" s="51">
        <v>53</v>
      </c>
      <c r="DL136" s="60">
        <v>54</v>
      </c>
      <c r="DM136" s="60">
        <f t="shared" si="52"/>
        <v>466.5555555555556</v>
      </c>
      <c r="DN136" s="60" t="e">
        <f t="shared" si="53"/>
        <v>#VALUE!</v>
      </c>
      <c r="DO136" s="60" t="e">
        <f t="shared" si="54"/>
        <v>#VALUE!</v>
      </c>
      <c r="DP136" s="51">
        <v>53</v>
      </c>
      <c r="EG136" s="29"/>
      <c r="EH136" s="29">
        <v>15</v>
      </c>
      <c r="EI136" s="29">
        <v>78</v>
      </c>
      <c r="EJ136" s="29">
        <v>61.3</v>
      </c>
      <c r="EK136" s="29">
        <v>52</v>
      </c>
      <c r="EL136" s="29">
        <v>37.6</v>
      </c>
      <c r="EM136" s="29">
        <v>30.6</v>
      </c>
      <c r="EN136" s="29">
        <v>26.3</v>
      </c>
      <c r="EO136" s="29">
        <v>17.899999999999999</v>
      </c>
      <c r="EP136" s="29">
        <v>11.9</v>
      </c>
      <c r="EQ136" s="29">
        <v>8</v>
      </c>
    </row>
    <row r="137" spans="86:147">
      <c r="CH137" s="33">
        <v>55</v>
      </c>
      <c r="CI137" s="33">
        <f t="shared" si="37"/>
        <v>168.81944444444446</v>
      </c>
      <c r="CJ137" s="33">
        <f t="shared" si="38"/>
        <v>17.02709260106683</v>
      </c>
      <c r="CK137" s="33">
        <f t="shared" si="39"/>
        <v>0</v>
      </c>
      <c r="CL137" s="29">
        <v>54</v>
      </c>
      <c r="CN137" s="33">
        <v>55</v>
      </c>
      <c r="CO137" s="33">
        <f t="shared" si="40"/>
        <v>181.09722222222223</v>
      </c>
      <c r="CP137" s="33">
        <f t="shared" si="41"/>
        <v>44.509166663806667</v>
      </c>
      <c r="CQ137" s="33">
        <f t="shared" si="42"/>
        <v>0</v>
      </c>
      <c r="CR137" s="29">
        <v>54</v>
      </c>
      <c r="CT137" s="33">
        <v>55</v>
      </c>
      <c r="CU137" s="33">
        <f t="shared" si="43"/>
        <v>208.72222222222223</v>
      </c>
      <c r="CV137" s="33">
        <f t="shared" si="44"/>
        <v>88.521343360738513</v>
      </c>
      <c r="CW137" s="33">
        <f t="shared" si="45"/>
        <v>0</v>
      </c>
      <c r="CX137" s="29">
        <v>54</v>
      </c>
      <c r="CZ137" s="33">
        <v>55</v>
      </c>
      <c r="DA137" s="33">
        <f t="shared" si="46"/>
        <v>248.62500000000003</v>
      </c>
      <c r="DB137" s="33">
        <f t="shared" si="47"/>
        <v>178.00061771189598</v>
      </c>
      <c r="DC137" s="33">
        <f t="shared" si="48"/>
        <v>0</v>
      </c>
      <c r="DD137" s="29">
        <v>54</v>
      </c>
      <c r="DF137" s="60">
        <v>55</v>
      </c>
      <c r="DG137" s="60">
        <f t="shared" si="49"/>
        <v>340.70833333333337</v>
      </c>
      <c r="DH137" s="60">
        <f t="shared" si="50"/>
        <v>307.38875893494037</v>
      </c>
      <c r="DI137" s="60">
        <f t="shared" si="51"/>
        <v>0</v>
      </c>
      <c r="DJ137" s="51">
        <v>54</v>
      </c>
      <c r="DL137" s="60">
        <v>55</v>
      </c>
      <c r="DM137" s="60">
        <f t="shared" si="52"/>
        <v>469.62500000000006</v>
      </c>
      <c r="DN137" s="60" t="e">
        <f t="shared" si="53"/>
        <v>#VALUE!</v>
      </c>
      <c r="DO137" s="60" t="e">
        <f t="shared" si="54"/>
        <v>#VALUE!</v>
      </c>
      <c r="DP137" s="51">
        <v>54</v>
      </c>
      <c r="EG137" s="29"/>
      <c r="EH137" s="29">
        <v>20</v>
      </c>
      <c r="EI137" s="29">
        <v>82.4</v>
      </c>
      <c r="EJ137" s="29">
        <v>65</v>
      </c>
      <c r="EK137" s="29">
        <v>55.3</v>
      </c>
      <c r="EL137" s="29">
        <v>40.1</v>
      </c>
      <c r="EM137" s="29">
        <v>32.700000000000003</v>
      </c>
      <c r="EN137" s="29">
        <v>28.1</v>
      </c>
      <c r="EO137" s="29">
        <v>19.100000000000001</v>
      </c>
      <c r="EP137" s="29">
        <v>12.6</v>
      </c>
      <c r="EQ137" s="29">
        <v>8</v>
      </c>
    </row>
    <row r="138" spans="86:147">
      <c r="CH138" s="33">
        <v>56</v>
      </c>
      <c r="CI138" s="33">
        <f t="shared" si="37"/>
        <v>171.88888888888891</v>
      </c>
      <c r="CJ138" s="33">
        <f t="shared" si="38"/>
        <v>17.078048480404821</v>
      </c>
      <c r="CK138" s="33">
        <f t="shared" si="39"/>
        <v>0</v>
      </c>
      <c r="CL138" s="29">
        <v>55</v>
      </c>
      <c r="CN138" s="33">
        <v>56</v>
      </c>
      <c r="CO138" s="33">
        <f t="shared" si="40"/>
        <v>184.16666666666669</v>
      </c>
      <c r="CP138" s="33">
        <f t="shared" si="41"/>
        <v>44.6021312690428</v>
      </c>
      <c r="CQ138" s="33">
        <f t="shared" si="42"/>
        <v>0</v>
      </c>
      <c r="CR138" s="29">
        <v>55</v>
      </c>
      <c r="CT138" s="33">
        <v>56</v>
      </c>
      <c r="CU138" s="33">
        <f t="shared" si="43"/>
        <v>211.79166666666669</v>
      </c>
      <c r="CV138" s="33">
        <f t="shared" si="44"/>
        <v>88.663341668243277</v>
      </c>
      <c r="CW138" s="33">
        <f t="shared" si="45"/>
        <v>0</v>
      </c>
      <c r="CX138" s="29">
        <v>55</v>
      </c>
      <c r="CZ138" s="33">
        <v>56</v>
      </c>
      <c r="DA138" s="33">
        <f t="shared" si="46"/>
        <v>251.69444444444446</v>
      </c>
      <c r="DB138" s="33">
        <f t="shared" si="47"/>
        <v>178.21899521802541</v>
      </c>
      <c r="DC138" s="33">
        <f t="shared" si="48"/>
        <v>0</v>
      </c>
      <c r="DD138" s="29">
        <v>55</v>
      </c>
      <c r="DF138" s="60">
        <v>56</v>
      </c>
      <c r="DG138" s="60">
        <f t="shared" si="49"/>
        <v>343.77777777777783</v>
      </c>
      <c r="DH138" s="60">
        <f t="shared" si="50"/>
        <v>307.69305112131104</v>
      </c>
      <c r="DI138" s="60">
        <f t="shared" si="51"/>
        <v>0</v>
      </c>
      <c r="DJ138" s="51">
        <v>55</v>
      </c>
      <c r="DL138" s="60">
        <v>56</v>
      </c>
      <c r="DM138" s="60">
        <f t="shared" si="52"/>
        <v>472.69444444444446</v>
      </c>
      <c r="DN138" s="60" t="e">
        <f t="shared" si="53"/>
        <v>#VALUE!</v>
      </c>
      <c r="DO138" s="60" t="e">
        <f t="shared" si="54"/>
        <v>#VALUE!</v>
      </c>
      <c r="DP138" s="51">
        <v>55</v>
      </c>
      <c r="EG138" s="29"/>
      <c r="EH138" s="29">
        <v>25</v>
      </c>
      <c r="EI138" s="29">
        <v>85.9</v>
      </c>
      <c r="EJ138" s="29">
        <v>67.900000000000006</v>
      </c>
      <c r="EK138" s="29">
        <v>57.9</v>
      </c>
      <c r="EL138" s="29">
        <v>42.1</v>
      </c>
      <c r="EM138" s="29">
        <v>34.4</v>
      </c>
      <c r="EN138" s="29">
        <v>29.6</v>
      </c>
      <c r="EO138" s="29">
        <v>20</v>
      </c>
      <c r="EP138" s="29">
        <v>13.2</v>
      </c>
      <c r="EQ138" s="29">
        <v>9</v>
      </c>
    </row>
    <row r="139" spans="86:147">
      <c r="CH139" s="33">
        <v>57</v>
      </c>
      <c r="CI139" s="33">
        <f t="shared" si="37"/>
        <v>174.95833333333334</v>
      </c>
      <c r="CJ139" s="33">
        <f t="shared" si="38"/>
        <v>17.129004359742815</v>
      </c>
      <c r="CK139" s="33">
        <f t="shared" si="39"/>
        <v>0</v>
      </c>
      <c r="CL139" s="29">
        <v>56</v>
      </c>
      <c r="CN139" s="33">
        <v>57</v>
      </c>
      <c r="CO139" s="33">
        <f t="shared" si="40"/>
        <v>187.23611111111111</v>
      </c>
      <c r="CP139" s="33">
        <f t="shared" si="41"/>
        <v>44.695095874278941</v>
      </c>
      <c r="CQ139" s="33">
        <f t="shared" si="42"/>
        <v>0</v>
      </c>
      <c r="CR139" s="29">
        <v>56</v>
      </c>
      <c r="CT139" s="33">
        <v>57</v>
      </c>
      <c r="CU139" s="33">
        <f t="shared" si="43"/>
        <v>214.86111111111111</v>
      </c>
      <c r="CV139" s="33">
        <f t="shared" si="44"/>
        <v>88.805339975748055</v>
      </c>
      <c r="CW139" s="33">
        <f t="shared" si="45"/>
        <v>0</v>
      </c>
      <c r="CX139" s="29">
        <v>56</v>
      </c>
      <c r="CZ139" s="33">
        <v>57</v>
      </c>
      <c r="DA139" s="33">
        <f t="shared" si="46"/>
        <v>254.76388888888891</v>
      </c>
      <c r="DB139" s="33">
        <f t="shared" si="47"/>
        <v>178.4373727241549</v>
      </c>
      <c r="DC139" s="33">
        <f t="shared" si="48"/>
        <v>0</v>
      </c>
      <c r="DD139" s="29">
        <v>56</v>
      </c>
      <c r="DF139" s="60">
        <v>57</v>
      </c>
      <c r="DG139" s="60">
        <f t="shared" si="49"/>
        <v>346.84722222222223</v>
      </c>
      <c r="DH139" s="60">
        <f t="shared" si="50"/>
        <v>307.99734330768172</v>
      </c>
      <c r="DI139" s="60">
        <f t="shared" si="51"/>
        <v>0</v>
      </c>
      <c r="DJ139" s="51">
        <v>56</v>
      </c>
      <c r="DL139" s="60">
        <v>57</v>
      </c>
      <c r="DM139" s="60">
        <f t="shared" si="52"/>
        <v>475.76388888888891</v>
      </c>
      <c r="DN139" s="60" t="e">
        <f t="shared" si="53"/>
        <v>#VALUE!</v>
      </c>
      <c r="DO139" s="60" t="e">
        <f t="shared" si="54"/>
        <v>#VALUE!</v>
      </c>
      <c r="DP139" s="51">
        <v>56</v>
      </c>
      <c r="EG139" s="29"/>
      <c r="EH139" s="29">
        <v>30</v>
      </c>
      <c r="EI139" s="29">
        <v>88.9</v>
      </c>
      <c r="EJ139" s="29">
        <v>70.5</v>
      </c>
      <c r="EK139" s="29">
        <v>60.2</v>
      </c>
      <c r="EL139" s="29">
        <v>43.9</v>
      </c>
      <c r="EM139" s="29">
        <v>35.799999999999997</v>
      </c>
      <c r="EN139" s="29">
        <v>30.8</v>
      </c>
      <c r="EO139" s="29">
        <v>20.9</v>
      </c>
      <c r="EP139" s="29">
        <v>13.7</v>
      </c>
      <c r="EQ139" s="29">
        <v>9</v>
      </c>
    </row>
    <row r="140" spans="86:147">
      <c r="CH140" s="33">
        <v>58</v>
      </c>
      <c r="CI140" s="33">
        <f t="shared" si="37"/>
        <v>178.0277777777778</v>
      </c>
      <c r="CJ140" s="33">
        <f t="shared" si="38"/>
        <v>17.17996023908081</v>
      </c>
      <c r="CK140" s="33">
        <f t="shared" si="39"/>
        <v>0</v>
      </c>
      <c r="CL140" s="29">
        <v>57</v>
      </c>
      <c r="CN140" s="33">
        <v>58</v>
      </c>
      <c r="CO140" s="33">
        <f t="shared" si="40"/>
        <v>190.30555555555557</v>
      </c>
      <c r="CP140" s="33">
        <f t="shared" si="41"/>
        <v>44.788060479515075</v>
      </c>
      <c r="CQ140" s="33">
        <f t="shared" si="42"/>
        <v>0</v>
      </c>
      <c r="CR140" s="29">
        <v>57</v>
      </c>
      <c r="CT140" s="33">
        <v>58</v>
      </c>
      <c r="CU140" s="33">
        <f t="shared" si="43"/>
        <v>217.93055555555557</v>
      </c>
      <c r="CV140" s="33">
        <f t="shared" si="44"/>
        <v>88.947338283252819</v>
      </c>
      <c r="CW140" s="33">
        <f t="shared" si="45"/>
        <v>0</v>
      </c>
      <c r="CX140" s="29">
        <v>57</v>
      </c>
      <c r="CZ140" s="33">
        <v>58</v>
      </c>
      <c r="DA140" s="33">
        <f t="shared" si="46"/>
        <v>257.83333333333337</v>
      </c>
      <c r="DB140" s="33">
        <f t="shared" si="47"/>
        <v>178.65575023028435</v>
      </c>
      <c r="DC140" s="33">
        <f t="shared" si="48"/>
        <v>0</v>
      </c>
      <c r="DD140" s="29">
        <v>57</v>
      </c>
      <c r="DF140" s="60">
        <v>58</v>
      </c>
      <c r="DG140" s="60">
        <f t="shared" si="49"/>
        <v>349.91666666666669</v>
      </c>
      <c r="DH140" s="60">
        <f t="shared" si="50"/>
        <v>308.30163549405239</v>
      </c>
      <c r="DI140" s="60">
        <f t="shared" si="51"/>
        <v>0</v>
      </c>
      <c r="DJ140" s="51">
        <v>57</v>
      </c>
      <c r="DL140" s="60">
        <v>58</v>
      </c>
      <c r="DM140" s="60">
        <f t="shared" si="52"/>
        <v>478.83333333333337</v>
      </c>
      <c r="DN140" s="60" t="e">
        <f t="shared" si="53"/>
        <v>#VALUE!</v>
      </c>
      <c r="DO140" s="60" t="e">
        <f t="shared" si="54"/>
        <v>#VALUE!</v>
      </c>
      <c r="DP140" s="51">
        <v>57</v>
      </c>
      <c r="EG140" s="29"/>
      <c r="EH140" s="29">
        <v>50</v>
      </c>
      <c r="EI140" s="29">
        <v>97.8</v>
      </c>
      <c r="EJ140" s="29">
        <v>78</v>
      </c>
      <c r="EK140" s="29">
        <v>67</v>
      </c>
      <c r="EL140" s="29">
        <v>49.1</v>
      </c>
      <c r="EM140" s="29">
        <v>40.200000000000003</v>
      </c>
      <c r="EN140" s="29">
        <v>34.6</v>
      </c>
      <c r="EO140" s="29">
        <v>23.4</v>
      </c>
      <c r="EP140" s="29">
        <v>15.3</v>
      </c>
      <c r="EQ140" s="29">
        <v>10</v>
      </c>
    </row>
    <row r="141" spans="86:147">
      <c r="CH141" s="33">
        <v>59</v>
      </c>
      <c r="CI141" s="33">
        <f t="shared" si="37"/>
        <v>181.09722222222223</v>
      </c>
      <c r="CJ141" s="33">
        <f t="shared" si="38"/>
        <v>17.230916118418797</v>
      </c>
      <c r="CK141" s="33">
        <f t="shared" si="39"/>
        <v>0</v>
      </c>
      <c r="CL141" s="29">
        <v>58</v>
      </c>
      <c r="CN141" s="33">
        <v>59</v>
      </c>
      <c r="CO141" s="33">
        <f t="shared" si="40"/>
        <v>193.375</v>
      </c>
      <c r="CP141" s="33">
        <f t="shared" si="41"/>
        <v>44.881025084751201</v>
      </c>
      <c r="CQ141" s="33">
        <f t="shared" si="42"/>
        <v>0</v>
      </c>
      <c r="CR141" s="29">
        <v>58</v>
      </c>
      <c r="CT141" s="33">
        <v>59</v>
      </c>
      <c r="CU141" s="33">
        <f t="shared" si="43"/>
        <v>221</v>
      </c>
      <c r="CV141" s="33">
        <f t="shared" si="44"/>
        <v>89.089336590757583</v>
      </c>
      <c r="CW141" s="33">
        <f t="shared" si="45"/>
        <v>0</v>
      </c>
      <c r="CX141" s="29">
        <v>58</v>
      </c>
      <c r="CZ141" s="33">
        <v>59</v>
      </c>
      <c r="DA141" s="33">
        <f t="shared" si="46"/>
        <v>260.90277777777777</v>
      </c>
      <c r="DB141" s="33">
        <f t="shared" si="47"/>
        <v>178.87412773641381</v>
      </c>
      <c r="DC141" s="33">
        <f t="shared" si="48"/>
        <v>0</v>
      </c>
      <c r="DD141" s="29">
        <v>58</v>
      </c>
      <c r="DF141" s="60">
        <v>59</v>
      </c>
      <c r="DG141" s="60">
        <f t="shared" si="49"/>
        <v>352.98611111111114</v>
      </c>
      <c r="DH141" s="60">
        <f t="shared" si="50"/>
        <v>308.60592768042301</v>
      </c>
      <c r="DI141" s="60">
        <f t="shared" si="51"/>
        <v>0</v>
      </c>
      <c r="DJ141" s="51">
        <v>58</v>
      </c>
      <c r="DL141" s="60">
        <v>59</v>
      </c>
      <c r="DM141" s="60">
        <f t="shared" si="52"/>
        <v>481.90277777777783</v>
      </c>
      <c r="DN141" s="60" t="e">
        <f t="shared" si="53"/>
        <v>#VALUE!</v>
      </c>
      <c r="DO141" s="60" t="e">
        <f t="shared" si="54"/>
        <v>#VALUE!</v>
      </c>
      <c r="DP141" s="51">
        <v>58</v>
      </c>
      <c r="EG141" s="29"/>
      <c r="EH141" s="29">
        <v>100</v>
      </c>
      <c r="EI141" s="29">
        <v>111.4</v>
      </c>
      <c r="EJ141" s="29">
        <v>89.6</v>
      </c>
      <c r="EK141" s="29">
        <v>77.400000000000006</v>
      </c>
      <c r="EL141" s="29">
        <v>57.2</v>
      </c>
      <c r="EM141" s="29">
        <v>47</v>
      </c>
      <c r="EN141" s="29">
        <v>40.5</v>
      </c>
      <c r="EO141" s="29">
        <v>27.3</v>
      </c>
      <c r="EP141" s="29">
        <v>17.600000000000001</v>
      </c>
      <c r="EQ141" s="29">
        <v>11</v>
      </c>
    </row>
    <row r="142" spans="86:147">
      <c r="CH142" s="33">
        <v>60</v>
      </c>
      <c r="CI142" s="33">
        <f t="shared" si="37"/>
        <v>184.16666666666669</v>
      </c>
      <c r="CJ142" s="33">
        <f t="shared" si="38"/>
        <v>17.281871997756792</v>
      </c>
      <c r="CK142" s="33">
        <f t="shared" si="39"/>
        <v>0</v>
      </c>
      <c r="CL142" s="29">
        <v>59</v>
      </c>
      <c r="CN142" s="33">
        <v>60</v>
      </c>
      <c r="CO142" s="33">
        <f t="shared" si="40"/>
        <v>196.44444444444446</v>
      </c>
      <c r="CP142" s="33">
        <f t="shared" si="41"/>
        <v>44.973989689987334</v>
      </c>
      <c r="CQ142" s="33">
        <f t="shared" si="42"/>
        <v>0</v>
      </c>
      <c r="CR142" s="29">
        <v>59</v>
      </c>
      <c r="CT142" s="33">
        <v>60</v>
      </c>
      <c r="CU142" s="33">
        <f t="shared" si="43"/>
        <v>224.06944444444446</v>
      </c>
      <c r="CV142" s="33">
        <f t="shared" si="44"/>
        <v>89.231334898262361</v>
      </c>
      <c r="CW142" s="33">
        <f t="shared" si="45"/>
        <v>0</v>
      </c>
      <c r="CX142" s="29">
        <v>59</v>
      </c>
      <c r="CZ142" s="33">
        <v>60</v>
      </c>
      <c r="DA142" s="33">
        <f t="shared" si="46"/>
        <v>263.97222222222223</v>
      </c>
      <c r="DB142" s="33">
        <f t="shared" si="47"/>
        <v>179.09250524254324</v>
      </c>
      <c r="DC142" s="33">
        <f t="shared" si="48"/>
        <v>0</v>
      </c>
      <c r="DD142" s="29">
        <v>59</v>
      </c>
      <c r="DF142" s="60">
        <v>60</v>
      </c>
      <c r="DG142" s="60">
        <f t="shared" si="49"/>
        <v>356.0555555555556</v>
      </c>
      <c r="DH142" s="60">
        <f t="shared" si="50"/>
        <v>308.91021986679362</v>
      </c>
      <c r="DI142" s="60">
        <f t="shared" si="51"/>
        <v>0</v>
      </c>
      <c r="DJ142" s="51">
        <v>59</v>
      </c>
      <c r="DL142" s="60">
        <v>60</v>
      </c>
      <c r="DM142" s="60">
        <f t="shared" si="52"/>
        <v>484.97222222222223</v>
      </c>
      <c r="DN142" s="60" t="e">
        <f t="shared" si="53"/>
        <v>#VALUE!</v>
      </c>
      <c r="DO142" s="60" t="e">
        <f t="shared" si="54"/>
        <v>#VALUE!</v>
      </c>
      <c r="DP142" s="51">
        <v>59</v>
      </c>
      <c r="EG142" s="29"/>
      <c r="EH142" s="29">
        <v>500</v>
      </c>
      <c r="EI142" s="29">
        <v>150.6</v>
      </c>
      <c r="EJ142" s="29">
        <v>123.6</v>
      </c>
      <c r="EK142" s="29">
        <v>108.5</v>
      </c>
      <c r="EL142" s="29">
        <v>81.599999999999994</v>
      </c>
      <c r="EM142" s="29">
        <v>67.5</v>
      </c>
      <c r="EN142" s="29">
        <v>58.4</v>
      </c>
      <c r="EO142" s="29">
        <v>39.1</v>
      </c>
      <c r="EP142" s="29">
        <v>24.7</v>
      </c>
      <c r="EQ142" s="29">
        <v>15</v>
      </c>
    </row>
    <row r="143" spans="86:147">
      <c r="CH143" s="33">
        <v>61</v>
      </c>
      <c r="CI143" s="33">
        <f t="shared" si="37"/>
        <v>187.23611111111111</v>
      </c>
      <c r="CJ143" s="33">
        <f t="shared" si="38"/>
        <v>17.332827877094783</v>
      </c>
      <c r="CK143" s="33">
        <f t="shared" si="39"/>
        <v>0</v>
      </c>
      <c r="CL143" s="29">
        <v>60</v>
      </c>
      <c r="CN143" s="33">
        <v>61</v>
      </c>
      <c r="CO143" s="33">
        <f t="shared" si="40"/>
        <v>199.51388888888891</v>
      </c>
      <c r="CP143" s="33">
        <f t="shared" si="41"/>
        <v>45.066954295223475</v>
      </c>
      <c r="CQ143" s="33">
        <f t="shared" si="42"/>
        <v>0</v>
      </c>
      <c r="CR143" s="29">
        <v>60</v>
      </c>
      <c r="CT143" s="33">
        <v>61</v>
      </c>
      <c r="CU143" s="33">
        <f t="shared" si="43"/>
        <v>227.13888888888891</v>
      </c>
      <c r="CV143" s="33">
        <f t="shared" si="44"/>
        <v>89.373333205767125</v>
      </c>
      <c r="CW143" s="33">
        <f t="shared" si="45"/>
        <v>0</v>
      </c>
      <c r="CX143" s="29">
        <v>60</v>
      </c>
      <c r="CZ143" s="33">
        <v>61</v>
      </c>
      <c r="DA143" s="33">
        <f t="shared" si="46"/>
        <v>267.04166666666669</v>
      </c>
      <c r="DB143" s="33">
        <f t="shared" si="47"/>
        <v>179.31088274867273</v>
      </c>
      <c r="DC143" s="33">
        <f t="shared" si="48"/>
        <v>0</v>
      </c>
      <c r="DD143" s="29">
        <v>60</v>
      </c>
      <c r="DF143" s="60">
        <v>61</v>
      </c>
      <c r="DG143" s="60">
        <f t="shared" si="49"/>
        <v>359.125</v>
      </c>
      <c r="DH143" s="60">
        <f t="shared" si="50"/>
        <v>309.2145120531643</v>
      </c>
      <c r="DI143" s="60">
        <f t="shared" si="51"/>
        <v>0</v>
      </c>
      <c r="DJ143" s="51">
        <v>60</v>
      </c>
      <c r="DL143" s="60">
        <v>61</v>
      </c>
      <c r="DM143" s="60">
        <f t="shared" si="52"/>
        <v>488.04166666666669</v>
      </c>
      <c r="DN143" s="60" t="e">
        <f t="shared" si="53"/>
        <v>#VALUE!</v>
      </c>
      <c r="DO143" s="60" t="e">
        <f t="shared" si="54"/>
        <v>#VALUE!</v>
      </c>
      <c r="DP143" s="51">
        <v>60</v>
      </c>
      <c r="EG143" s="29"/>
      <c r="EH143" s="29">
        <v>1000</v>
      </c>
      <c r="EI143" s="29">
        <v>171.5</v>
      </c>
      <c r="EJ143" s="29">
        <v>141.9</v>
      </c>
      <c r="EK143" s="29">
        <v>125.4</v>
      </c>
      <c r="EL143" s="29">
        <v>95.1</v>
      </c>
      <c r="EM143" s="29">
        <v>78.900000000000006</v>
      </c>
      <c r="EN143" s="29">
        <v>68.400000000000006</v>
      </c>
      <c r="EO143" s="29">
        <v>45.7</v>
      </c>
      <c r="EP143" s="29">
        <v>28.5</v>
      </c>
      <c r="EQ143" s="29">
        <v>17</v>
      </c>
    </row>
    <row r="144" spans="86:147">
      <c r="CH144" s="33">
        <v>62</v>
      </c>
      <c r="CI144" s="33">
        <f t="shared" si="37"/>
        <v>190.30555555555557</v>
      </c>
      <c r="CJ144" s="33">
        <f t="shared" si="38"/>
        <v>17.383783756432774</v>
      </c>
      <c r="CK144" s="33">
        <f t="shared" si="39"/>
        <v>0</v>
      </c>
      <c r="CL144" s="29">
        <v>61</v>
      </c>
      <c r="CN144" s="33">
        <v>62</v>
      </c>
      <c r="CO144" s="33">
        <f t="shared" si="40"/>
        <v>202.58333333333334</v>
      </c>
      <c r="CP144" s="33">
        <f t="shared" si="41"/>
        <v>45.159918900459608</v>
      </c>
      <c r="CQ144" s="33">
        <f t="shared" si="42"/>
        <v>0</v>
      </c>
      <c r="CR144" s="29">
        <v>61</v>
      </c>
      <c r="CT144" s="33">
        <v>62</v>
      </c>
      <c r="CU144" s="33">
        <f t="shared" si="43"/>
        <v>230.20833333333334</v>
      </c>
      <c r="CV144" s="33">
        <f t="shared" si="44"/>
        <v>89.515331513271903</v>
      </c>
      <c r="CW144" s="33">
        <f t="shared" si="45"/>
        <v>0</v>
      </c>
      <c r="CX144" s="29">
        <v>61</v>
      </c>
      <c r="CZ144" s="33">
        <v>62</v>
      </c>
      <c r="DA144" s="33">
        <f t="shared" si="46"/>
        <v>270.11111111111114</v>
      </c>
      <c r="DB144" s="33">
        <f t="shared" si="47"/>
        <v>179.52926025480218</v>
      </c>
      <c r="DC144" s="33">
        <f t="shared" si="48"/>
        <v>0</v>
      </c>
      <c r="DD144" s="29">
        <v>61</v>
      </c>
      <c r="DF144" s="60">
        <v>62</v>
      </c>
      <c r="DG144" s="60">
        <f t="shared" si="49"/>
        <v>362.19444444444446</v>
      </c>
      <c r="DH144" s="60">
        <f t="shared" si="50"/>
        <v>309.51880423953486</v>
      </c>
      <c r="DI144" s="60">
        <f t="shared" si="51"/>
        <v>0</v>
      </c>
      <c r="DJ144" s="51">
        <v>61</v>
      </c>
      <c r="DL144" s="60">
        <v>62</v>
      </c>
      <c r="DM144" s="60">
        <f t="shared" si="52"/>
        <v>491.11111111111114</v>
      </c>
      <c r="DN144" s="60" t="e">
        <f t="shared" si="53"/>
        <v>#VALUE!</v>
      </c>
      <c r="DO144" s="60" t="e">
        <f t="shared" si="54"/>
        <v>#VALUE!</v>
      </c>
      <c r="DP144" s="51">
        <v>61</v>
      </c>
    </row>
    <row r="145" spans="86:120">
      <c r="CH145" s="33">
        <v>63</v>
      </c>
      <c r="CI145" s="33">
        <f t="shared" si="37"/>
        <v>193.375</v>
      </c>
      <c r="CJ145" s="33">
        <f t="shared" si="38"/>
        <v>17.434739635770768</v>
      </c>
      <c r="CK145" s="33">
        <f t="shared" si="39"/>
        <v>0</v>
      </c>
      <c r="CL145" s="29">
        <v>62</v>
      </c>
      <c r="CN145" s="33">
        <v>63</v>
      </c>
      <c r="CO145" s="33">
        <f t="shared" si="40"/>
        <v>205.6527777777778</v>
      </c>
      <c r="CP145" s="33">
        <f t="shared" si="41"/>
        <v>45.252883505695742</v>
      </c>
      <c r="CQ145" s="33">
        <f t="shared" si="42"/>
        <v>0</v>
      </c>
      <c r="CR145" s="29">
        <v>62</v>
      </c>
      <c r="CT145" s="33">
        <v>63</v>
      </c>
      <c r="CU145" s="33">
        <f t="shared" si="43"/>
        <v>233.2777777777778</v>
      </c>
      <c r="CV145" s="33">
        <f t="shared" si="44"/>
        <v>89.657329820776667</v>
      </c>
      <c r="CW145" s="33">
        <f t="shared" si="45"/>
        <v>0</v>
      </c>
      <c r="CX145" s="29">
        <v>62</v>
      </c>
      <c r="CZ145" s="33">
        <v>63</v>
      </c>
      <c r="DA145" s="33">
        <f t="shared" si="46"/>
        <v>273.1805555555556</v>
      </c>
      <c r="DB145" s="33">
        <f t="shared" si="47"/>
        <v>179.74763776093161</v>
      </c>
      <c r="DC145" s="33">
        <f t="shared" si="48"/>
        <v>0</v>
      </c>
      <c r="DD145" s="29">
        <v>62</v>
      </c>
      <c r="DF145" s="60">
        <v>63</v>
      </c>
      <c r="DG145" s="60">
        <f t="shared" si="49"/>
        <v>365.26388888888891</v>
      </c>
      <c r="DH145" s="60">
        <f t="shared" si="50"/>
        <v>309.82309642590553</v>
      </c>
      <c r="DI145" s="60">
        <f t="shared" si="51"/>
        <v>0</v>
      </c>
      <c r="DJ145" s="51">
        <v>62</v>
      </c>
      <c r="DL145" s="60">
        <v>63</v>
      </c>
      <c r="DM145" s="60">
        <f t="shared" si="52"/>
        <v>494.1805555555556</v>
      </c>
      <c r="DN145" s="60" t="e">
        <f t="shared" si="53"/>
        <v>#VALUE!</v>
      </c>
      <c r="DO145" s="60" t="e">
        <f t="shared" si="54"/>
        <v>#VALUE!</v>
      </c>
      <c r="DP145" s="51">
        <v>62</v>
      </c>
    </row>
    <row r="146" spans="86:120">
      <c r="CH146" s="33">
        <v>64</v>
      </c>
      <c r="CI146" s="33">
        <f t="shared" si="37"/>
        <v>196.44444444444446</v>
      </c>
      <c r="CJ146" s="33">
        <f t="shared" si="38"/>
        <v>17.485695515108759</v>
      </c>
      <c r="CK146" s="33">
        <f t="shared" si="39"/>
        <v>0</v>
      </c>
      <c r="CL146" s="29">
        <v>63</v>
      </c>
      <c r="CN146" s="33">
        <v>64</v>
      </c>
      <c r="CO146" s="33">
        <f t="shared" si="40"/>
        <v>208.72222222222223</v>
      </c>
      <c r="CP146" s="33">
        <f t="shared" si="41"/>
        <v>45.345848110931875</v>
      </c>
      <c r="CQ146" s="33">
        <f t="shared" si="42"/>
        <v>0</v>
      </c>
      <c r="CR146" s="29">
        <v>63</v>
      </c>
      <c r="CT146" s="33">
        <v>64</v>
      </c>
      <c r="CU146" s="33">
        <f t="shared" si="43"/>
        <v>236.34722222222223</v>
      </c>
      <c r="CV146" s="33">
        <f t="shared" si="44"/>
        <v>89.799328128281431</v>
      </c>
      <c r="CW146" s="33">
        <f t="shared" si="45"/>
        <v>0</v>
      </c>
      <c r="CX146" s="29">
        <v>63</v>
      </c>
      <c r="CZ146" s="33">
        <v>64</v>
      </c>
      <c r="DA146" s="33">
        <f t="shared" si="46"/>
        <v>276.25</v>
      </c>
      <c r="DB146" s="33">
        <f t="shared" si="47"/>
        <v>179.96601526706107</v>
      </c>
      <c r="DC146" s="33">
        <f t="shared" si="48"/>
        <v>0</v>
      </c>
      <c r="DD146" s="29">
        <v>63</v>
      </c>
      <c r="DF146" s="60">
        <v>64</v>
      </c>
      <c r="DG146" s="60">
        <f t="shared" si="49"/>
        <v>368.33333333333337</v>
      </c>
      <c r="DH146" s="60">
        <f t="shared" si="50"/>
        <v>310.12738861227615</v>
      </c>
      <c r="DI146" s="60">
        <f t="shared" si="51"/>
        <v>0</v>
      </c>
      <c r="DJ146" s="51">
        <v>63</v>
      </c>
      <c r="DL146" s="60">
        <v>64</v>
      </c>
      <c r="DM146" s="60">
        <f t="shared" si="52"/>
        <v>497.25000000000006</v>
      </c>
      <c r="DN146" s="60" t="e">
        <f t="shared" si="53"/>
        <v>#VALUE!</v>
      </c>
      <c r="DO146" s="60" t="e">
        <f t="shared" si="54"/>
        <v>#VALUE!</v>
      </c>
      <c r="DP146" s="51">
        <v>63</v>
      </c>
    </row>
    <row r="147" spans="86:120">
      <c r="CH147" s="33">
        <v>65</v>
      </c>
      <c r="CI147" s="33">
        <f t="shared" ref="CI147:CI182" si="55">$CJ$27*CH147</f>
        <v>199.51388888888891</v>
      </c>
      <c r="CJ147" s="33">
        <f t="shared" ref="CJ147:CJ182" si="56">(2.66*$CJ$31^1.25)*((6.74*($CJ$22/100)^0.7)+0.4+(CH147/$CJ$30)*$CJ$23)*1000</f>
        <v>17.536651394446753</v>
      </c>
      <c r="CK147" s="33">
        <f t="shared" si="39"/>
        <v>0</v>
      </c>
      <c r="CL147" s="29">
        <v>64</v>
      </c>
      <c r="CN147" s="33">
        <v>65</v>
      </c>
      <c r="CO147" s="33">
        <f t="shared" si="40"/>
        <v>211.79166666666669</v>
      </c>
      <c r="CP147" s="33">
        <f t="shared" si="41"/>
        <v>45.438812716168016</v>
      </c>
      <c r="CQ147" s="33">
        <f t="shared" si="42"/>
        <v>0</v>
      </c>
      <c r="CR147" s="29">
        <v>64</v>
      </c>
      <c r="CT147" s="33">
        <v>65</v>
      </c>
      <c r="CU147" s="33">
        <f t="shared" si="43"/>
        <v>239.41666666666669</v>
      </c>
      <c r="CV147" s="33">
        <f t="shared" si="44"/>
        <v>89.941326435786209</v>
      </c>
      <c r="CW147" s="33">
        <f t="shared" si="45"/>
        <v>0</v>
      </c>
      <c r="CX147" s="29">
        <v>64</v>
      </c>
      <c r="CZ147" s="33">
        <v>65</v>
      </c>
      <c r="DA147" s="33">
        <f t="shared" si="46"/>
        <v>279.31944444444446</v>
      </c>
      <c r="DB147" s="33">
        <f t="shared" si="47"/>
        <v>180.18439277319052</v>
      </c>
      <c r="DC147" s="33">
        <f t="shared" si="48"/>
        <v>0</v>
      </c>
      <c r="DD147" s="29">
        <v>64</v>
      </c>
      <c r="DF147" s="60">
        <v>65</v>
      </c>
      <c r="DG147" s="60">
        <f t="shared" si="49"/>
        <v>371.40277777777783</v>
      </c>
      <c r="DH147" s="60">
        <f t="shared" si="50"/>
        <v>310.43168079864688</v>
      </c>
      <c r="DI147" s="60">
        <f t="shared" si="51"/>
        <v>0</v>
      </c>
      <c r="DJ147" s="51">
        <v>64</v>
      </c>
      <c r="DL147" s="60">
        <v>65</v>
      </c>
      <c r="DM147" s="60">
        <f t="shared" si="52"/>
        <v>500.31944444444446</v>
      </c>
      <c r="DN147" s="60" t="e">
        <f t="shared" si="53"/>
        <v>#VALUE!</v>
      </c>
      <c r="DO147" s="60" t="e">
        <f t="shared" si="54"/>
        <v>#VALUE!</v>
      </c>
      <c r="DP147" s="51">
        <v>64</v>
      </c>
    </row>
    <row r="148" spans="86:120">
      <c r="CH148" s="33">
        <v>66</v>
      </c>
      <c r="CI148" s="33">
        <f t="shared" si="55"/>
        <v>202.58333333333334</v>
      </c>
      <c r="CJ148" s="33">
        <f t="shared" si="56"/>
        <v>17.587607273784744</v>
      </c>
      <c r="CK148" s="33">
        <f t="shared" ref="CK148:CK182" si="57">MAX(0,CJ148-CI148)</f>
        <v>0</v>
      </c>
      <c r="CL148" s="29">
        <v>65</v>
      </c>
      <c r="CN148" s="33">
        <v>66</v>
      </c>
      <c r="CO148" s="33">
        <f t="shared" ref="CO148:CO182" si="58">$CJ$27*(CN148+$CJ$82)</f>
        <v>214.86111111111111</v>
      </c>
      <c r="CP148" s="33">
        <f t="shared" ref="CP148:CP182" si="59">(2.66*$CJ$39^1.25)*((6.74*($CJ$22/100)^0.7)+0.4+(CN148/$CJ$38)*$CJ$23)*1000</f>
        <v>45.531777321404149</v>
      </c>
      <c r="CQ148" s="33">
        <f t="shared" ref="CQ148:CQ182" si="60">MAX(0,CP148-CO148)</f>
        <v>0</v>
      </c>
      <c r="CR148" s="29">
        <v>65</v>
      </c>
      <c r="CT148" s="33">
        <v>66</v>
      </c>
      <c r="CU148" s="33">
        <f t="shared" ref="CU148:CU182" si="61">$CJ$27*(CT148+$CP$82+$CJ$82)</f>
        <v>242.48611111111111</v>
      </c>
      <c r="CV148" s="33">
        <f t="shared" ref="CV148:CV182" si="62">(2.66*$CJ$48^1.25)*((6.74*($CJ$22/100)^0.7)+0.4+(CT148/$CJ$47)*$CJ$23)*1000</f>
        <v>90.083324743290973</v>
      </c>
      <c r="CW148" s="33">
        <f t="shared" ref="CW148:CW182" si="63">MAX(0,CV148-CU148)</f>
        <v>0</v>
      </c>
      <c r="CX148" s="29">
        <v>65</v>
      </c>
      <c r="CZ148" s="33">
        <v>66</v>
      </c>
      <c r="DA148" s="33">
        <f t="shared" ref="DA148:DA182" si="64">$CJ$27*(CZ148+$CP$82+$CV$82+$CJ$82)</f>
        <v>282.38888888888891</v>
      </c>
      <c r="DB148" s="33">
        <f t="shared" ref="DB148:DB182" si="65">(2.66*$CJ$57^1.25)*((6.74*($CJ$22/100)^0.7)+0.4+(CZ148/$CJ$56)*$CJ$23)*1000</f>
        <v>180.40277027931998</v>
      </c>
      <c r="DC148" s="33">
        <f t="shared" ref="DC148:DC182" si="66">MAX(0,DB148-DA148)</f>
        <v>0</v>
      </c>
      <c r="DD148" s="29">
        <v>65</v>
      </c>
      <c r="DF148" s="60">
        <v>66</v>
      </c>
      <c r="DG148" s="60">
        <f t="shared" ref="DG148:DG182" si="67">$CJ$27*(DF148+$CP$82+$CV$82+$CJ$82+$DB$82)</f>
        <v>374.47222222222223</v>
      </c>
      <c r="DH148" s="60">
        <f t="shared" ref="DH148:DH182" si="68">(2.66*$CJ$66^1.25)*((6.74*($CJ$22/100)^0.7)+0.4+(DF148/$CJ$65)*$CJ$23)*1000</f>
        <v>310.7359729850175</v>
      </c>
      <c r="DI148" s="60">
        <f t="shared" ref="DI148:DI182" si="69">MAX(0,DH148-DG148)</f>
        <v>0</v>
      </c>
      <c r="DJ148" s="51">
        <v>65</v>
      </c>
      <c r="DL148" s="60">
        <v>66</v>
      </c>
      <c r="DM148" s="60">
        <f t="shared" ref="DM148:DM182" si="70">$CJ$27*(DL148+$CP$82+$CV$82+$CJ$82+$DB$82+$DH$82)</f>
        <v>503.38888888888891</v>
      </c>
      <c r="DN148" s="60" t="e">
        <f t="shared" ref="DN148:DN182" si="71">(2.66*$CJ$75^1.25)*((6.74*($CJ$22/100)^0.7)+0.4+(DL148/$CJ$74)*$CJ$23)*1000</f>
        <v>#VALUE!</v>
      </c>
      <c r="DO148" s="60" t="e">
        <f t="shared" ref="DO148:DO182" si="72">MAX(0,DN148-DM148)</f>
        <v>#VALUE!</v>
      </c>
      <c r="DP148" s="51">
        <v>65</v>
      </c>
    </row>
    <row r="149" spans="86:120">
      <c r="CH149" s="33">
        <v>67</v>
      </c>
      <c r="CI149" s="33">
        <f t="shared" si="55"/>
        <v>205.6527777777778</v>
      </c>
      <c r="CJ149" s="33">
        <f t="shared" si="56"/>
        <v>17.638563153122735</v>
      </c>
      <c r="CK149" s="33">
        <f t="shared" si="57"/>
        <v>0</v>
      </c>
      <c r="CL149" s="29">
        <v>66</v>
      </c>
      <c r="CN149" s="33">
        <v>67</v>
      </c>
      <c r="CO149" s="33">
        <f t="shared" si="58"/>
        <v>217.93055555555557</v>
      </c>
      <c r="CP149" s="33">
        <f t="shared" si="59"/>
        <v>45.624741926640283</v>
      </c>
      <c r="CQ149" s="33">
        <f t="shared" si="60"/>
        <v>0</v>
      </c>
      <c r="CR149" s="29">
        <v>66</v>
      </c>
      <c r="CT149" s="33">
        <v>67</v>
      </c>
      <c r="CU149" s="33">
        <f t="shared" si="61"/>
        <v>245.55555555555557</v>
      </c>
      <c r="CV149" s="33">
        <f t="shared" si="62"/>
        <v>90.225323050795737</v>
      </c>
      <c r="CW149" s="33">
        <f t="shared" si="63"/>
        <v>0</v>
      </c>
      <c r="CX149" s="29">
        <v>66</v>
      </c>
      <c r="CZ149" s="33">
        <v>67</v>
      </c>
      <c r="DA149" s="33">
        <f t="shared" si="64"/>
        <v>285.45833333333337</v>
      </c>
      <c r="DB149" s="33">
        <f t="shared" si="65"/>
        <v>180.62114778544944</v>
      </c>
      <c r="DC149" s="33">
        <f t="shared" si="66"/>
        <v>0</v>
      </c>
      <c r="DD149" s="29">
        <v>66</v>
      </c>
      <c r="DF149" s="60">
        <v>67</v>
      </c>
      <c r="DG149" s="60">
        <f t="shared" si="67"/>
        <v>377.54166666666669</v>
      </c>
      <c r="DH149" s="60">
        <f t="shared" si="68"/>
        <v>311.04026517138811</v>
      </c>
      <c r="DI149" s="60">
        <f t="shared" si="69"/>
        <v>0</v>
      </c>
      <c r="DJ149" s="51">
        <v>66</v>
      </c>
      <c r="DL149" s="60">
        <v>67</v>
      </c>
      <c r="DM149" s="60">
        <f t="shared" si="70"/>
        <v>506.45833333333337</v>
      </c>
      <c r="DN149" s="60" t="e">
        <f t="shared" si="71"/>
        <v>#VALUE!</v>
      </c>
      <c r="DO149" s="60" t="e">
        <f t="shared" si="72"/>
        <v>#VALUE!</v>
      </c>
      <c r="DP149" s="51">
        <v>66</v>
      </c>
    </row>
    <row r="150" spans="86:120">
      <c r="CH150" s="33">
        <v>68</v>
      </c>
      <c r="CI150" s="33">
        <f t="shared" si="55"/>
        <v>208.72222222222223</v>
      </c>
      <c r="CJ150" s="33">
        <f t="shared" si="56"/>
        <v>17.68951903246073</v>
      </c>
      <c r="CK150" s="33">
        <f t="shared" si="57"/>
        <v>0</v>
      </c>
      <c r="CL150" s="29">
        <v>67</v>
      </c>
      <c r="CN150" s="33">
        <v>68</v>
      </c>
      <c r="CO150" s="33">
        <f t="shared" si="58"/>
        <v>221</v>
      </c>
      <c r="CP150" s="33">
        <f t="shared" si="59"/>
        <v>45.717706531876416</v>
      </c>
      <c r="CQ150" s="33">
        <f t="shared" si="60"/>
        <v>0</v>
      </c>
      <c r="CR150" s="29">
        <v>67</v>
      </c>
      <c r="CT150" s="33">
        <v>68</v>
      </c>
      <c r="CU150" s="33">
        <f t="shared" si="61"/>
        <v>248.62500000000003</v>
      </c>
      <c r="CV150" s="33">
        <f t="shared" si="62"/>
        <v>90.367321358300515</v>
      </c>
      <c r="CW150" s="33">
        <f t="shared" si="63"/>
        <v>0</v>
      </c>
      <c r="CX150" s="29">
        <v>67</v>
      </c>
      <c r="CZ150" s="33">
        <v>68</v>
      </c>
      <c r="DA150" s="33">
        <f t="shared" si="64"/>
        <v>288.52777777777777</v>
      </c>
      <c r="DB150" s="33">
        <f t="shared" si="65"/>
        <v>180.83952529157889</v>
      </c>
      <c r="DC150" s="33">
        <f t="shared" si="66"/>
        <v>0</v>
      </c>
      <c r="DD150" s="29">
        <v>67</v>
      </c>
      <c r="DF150" s="60">
        <v>68</v>
      </c>
      <c r="DG150" s="60">
        <f t="shared" si="67"/>
        <v>380.61111111111114</v>
      </c>
      <c r="DH150" s="60">
        <f t="shared" si="68"/>
        <v>311.34455735775879</v>
      </c>
      <c r="DI150" s="60">
        <f t="shared" si="69"/>
        <v>0</v>
      </c>
      <c r="DJ150" s="51">
        <v>67</v>
      </c>
      <c r="DL150" s="60">
        <v>68</v>
      </c>
      <c r="DM150" s="60">
        <f t="shared" si="70"/>
        <v>509.52777777777783</v>
      </c>
      <c r="DN150" s="60" t="e">
        <f t="shared" si="71"/>
        <v>#VALUE!</v>
      </c>
      <c r="DO150" s="60" t="e">
        <f t="shared" si="72"/>
        <v>#VALUE!</v>
      </c>
      <c r="DP150" s="51">
        <v>67</v>
      </c>
    </row>
    <row r="151" spans="86:120">
      <c r="CH151" s="33">
        <v>69</v>
      </c>
      <c r="CI151" s="33">
        <f t="shared" si="55"/>
        <v>211.79166666666669</v>
      </c>
      <c r="CJ151" s="33">
        <f t="shared" si="56"/>
        <v>17.740474911798717</v>
      </c>
      <c r="CK151" s="33">
        <f t="shared" si="57"/>
        <v>0</v>
      </c>
      <c r="CL151" s="29">
        <v>68</v>
      </c>
      <c r="CN151" s="33">
        <v>69</v>
      </c>
      <c r="CO151" s="33">
        <f t="shared" si="58"/>
        <v>224.06944444444446</v>
      </c>
      <c r="CP151" s="33">
        <f t="shared" si="59"/>
        <v>45.810671137112557</v>
      </c>
      <c r="CQ151" s="33">
        <f t="shared" si="60"/>
        <v>0</v>
      </c>
      <c r="CR151" s="29">
        <v>68</v>
      </c>
      <c r="CT151" s="33">
        <v>69</v>
      </c>
      <c r="CU151" s="33">
        <f t="shared" si="61"/>
        <v>251.69444444444446</v>
      </c>
      <c r="CV151" s="33">
        <f t="shared" si="62"/>
        <v>90.509319665805279</v>
      </c>
      <c r="CW151" s="33">
        <f t="shared" si="63"/>
        <v>0</v>
      </c>
      <c r="CX151" s="29">
        <v>68</v>
      </c>
      <c r="CZ151" s="33">
        <v>69</v>
      </c>
      <c r="DA151" s="33">
        <f t="shared" si="64"/>
        <v>291.59722222222223</v>
      </c>
      <c r="DB151" s="33">
        <f t="shared" si="65"/>
        <v>181.05790279770832</v>
      </c>
      <c r="DC151" s="33">
        <f t="shared" si="66"/>
        <v>0</v>
      </c>
      <c r="DD151" s="29">
        <v>68</v>
      </c>
      <c r="DF151" s="60">
        <v>69</v>
      </c>
      <c r="DG151" s="60">
        <f t="shared" si="67"/>
        <v>383.6805555555556</v>
      </c>
      <c r="DH151" s="60">
        <f t="shared" si="68"/>
        <v>311.6488495441294</v>
      </c>
      <c r="DI151" s="60">
        <f t="shared" si="69"/>
        <v>0</v>
      </c>
      <c r="DJ151" s="51">
        <v>68</v>
      </c>
      <c r="DL151" s="60">
        <v>69</v>
      </c>
      <c r="DM151" s="60">
        <f t="shared" si="70"/>
        <v>512.59722222222229</v>
      </c>
      <c r="DN151" s="60" t="e">
        <f t="shared" si="71"/>
        <v>#VALUE!</v>
      </c>
      <c r="DO151" s="60" t="e">
        <f t="shared" si="72"/>
        <v>#VALUE!</v>
      </c>
      <c r="DP151" s="51">
        <v>68</v>
      </c>
    </row>
    <row r="152" spans="86:120">
      <c r="CH152" s="33">
        <v>70</v>
      </c>
      <c r="CI152" s="33">
        <f t="shared" si="55"/>
        <v>214.86111111111111</v>
      </c>
      <c r="CJ152" s="33">
        <f t="shared" si="56"/>
        <v>17.791430791136712</v>
      </c>
      <c r="CK152" s="33">
        <f t="shared" si="57"/>
        <v>0</v>
      </c>
      <c r="CL152" s="29">
        <v>69</v>
      </c>
      <c r="CN152" s="33">
        <v>70</v>
      </c>
      <c r="CO152" s="33">
        <f t="shared" si="58"/>
        <v>227.13888888888891</v>
      </c>
      <c r="CP152" s="33">
        <f t="shared" si="59"/>
        <v>45.90363574234869</v>
      </c>
      <c r="CQ152" s="33">
        <f t="shared" si="60"/>
        <v>0</v>
      </c>
      <c r="CR152" s="29">
        <v>69</v>
      </c>
      <c r="CT152" s="33">
        <v>70</v>
      </c>
      <c r="CU152" s="33">
        <f t="shared" si="61"/>
        <v>254.76388888888891</v>
      </c>
      <c r="CV152" s="33">
        <f t="shared" si="62"/>
        <v>90.651317973310057</v>
      </c>
      <c r="CW152" s="33">
        <f t="shared" si="63"/>
        <v>0</v>
      </c>
      <c r="CX152" s="29">
        <v>69</v>
      </c>
      <c r="CZ152" s="33">
        <v>70</v>
      </c>
      <c r="DA152" s="33">
        <f t="shared" si="64"/>
        <v>294.66666666666669</v>
      </c>
      <c r="DB152" s="33">
        <f t="shared" si="65"/>
        <v>181.27628030383778</v>
      </c>
      <c r="DC152" s="33">
        <f t="shared" si="66"/>
        <v>0</v>
      </c>
      <c r="DD152" s="29">
        <v>69</v>
      </c>
      <c r="DF152" s="60">
        <v>70</v>
      </c>
      <c r="DG152" s="60">
        <f t="shared" si="67"/>
        <v>386.75</v>
      </c>
      <c r="DH152" s="60">
        <f t="shared" si="68"/>
        <v>311.95314173050008</v>
      </c>
      <c r="DI152" s="60">
        <f t="shared" si="69"/>
        <v>0</v>
      </c>
      <c r="DJ152" s="51">
        <v>69</v>
      </c>
      <c r="DL152" s="60">
        <v>70</v>
      </c>
      <c r="DM152" s="60">
        <f t="shared" si="70"/>
        <v>515.66666666666674</v>
      </c>
      <c r="DN152" s="60" t="e">
        <f t="shared" si="71"/>
        <v>#VALUE!</v>
      </c>
      <c r="DO152" s="60" t="e">
        <f t="shared" si="72"/>
        <v>#VALUE!</v>
      </c>
      <c r="DP152" s="51">
        <v>69</v>
      </c>
    </row>
    <row r="153" spans="86:120">
      <c r="CH153" s="33">
        <v>71</v>
      </c>
      <c r="CI153" s="33">
        <f t="shared" si="55"/>
        <v>217.93055555555557</v>
      </c>
      <c r="CJ153" s="33">
        <f t="shared" si="56"/>
        <v>17.842386670474706</v>
      </c>
      <c r="CK153" s="33">
        <f t="shared" si="57"/>
        <v>0</v>
      </c>
      <c r="CL153" s="29">
        <v>70</v>
      </c>
      <c r="CN153" s="33">
        <v>71</v>
      </c>
      <c r="CO153" s="33">
        <f t="shared" si="58"/>
        <v>230.20833333333334</v>
      </c>
      <c r="CP153" s="33">
        <f t="shared" si="59"/>
        <v>45.996600347584824</v>
      </c>
      <c r="CQ153" s="33">
        <f t="shared" si="60"/>
        <v>0</v>
      </c>
      <c r="CR153" s="29">
        <v>70</v>
      </c>
      <c r="CT153" s="33">
        <v>71</v>
      </c>
      <c r="CU153" s="33">
        <f t="shared" si="61"/>
        <v>257.83333333333337</v>
      </c>
      <c r="CV153" s="33">
        <f t="shared" si="62"/>
        <v>90.793316280814821</v>
      </c>
      <c r="CW153" s="33">
        <f t="shared" si="63"/>
        <v>0</v>
      </c>
      <c r="CX153" s="29">
        <v>70</v>
      </c>
      <c r="CZ153" s="33">
        <v>71</v>
      </c>
      <c r="DA153" s="33">
        <f t="shared" si="64"/>
        <v>297.73611111111114</v>
      </c>
      <c r="DB153" s="33">
        <f t="shared" si="65"/>
        <v>181.49465780996724</v>
      </c>
      <c r="DC153" s="33">
        <f t="shared" si="66"/>
        <v>0</v>
      </c>
      <c r="DD153" s="29">
        <v>70</v>
      </c>
      <c r="DF153" s="60">
        <v>71</v>
      </c>
      <c r="DG153" s="60">
        <f t="shared" si="67"/>
        <v>389.81944444444446</v>
      </c>
      <c r="DH153" s="60">
        <f t="shared" si="68"/>
        <v>312.2574339168707</v>
      </c>
      <c r="DI153" s="60">
        <f t="shared" si="69"/>
        <v>0</v>
      </c>
      <c r="DJ153" s="51">
        <v>70</v>
      </c>
      <c r="DL153" s="60">
        <v>71</v>
      </c>
      <c r="DM153" s="60">
        <f t="shared" si="70"/>
        <v>518.7361111111112</v>
      </c>
      <c r="DN153" s="60" t="e">
        <f t="shared" si="71"/>
        <v>#VALUE!</v>
      </c>
      <c r="DO153" s="60" t="e">
        <f t="shared" si="72"/>
        <v>#VALUE!</v>
      </c>
      <c r="DP153" s="51">
        <v>70</v>
      </c>
    </row>
    <row r="154" spans="86:120">
      <c r="CH154" s="33">
        <v>72</v>
      </c>
      <c r="CI154" s="33">
        <f t="shared" si="55"/>
        <v>221</v>
      </c>
      <c r="CJ154" s="33">
        <f t="shared" si="56"/>
        <v>17.893342549812694</v>
      </c>
      <c r="CK154" s="33">
        <f t="shared" si="57"/>
        <v>0</v>
      </c>
      <c r="CL154" s="29">
        <v>71</v>
      </c>
      <c r="CN154" s="33">
        <v>72</v>
      </c>
      <c r="CO154" s="33">
        <f t="shared" si="58"/>
        <v>233.2777777777778</v>
      </c>
      <c r="CP154" s="33">
        <f t="shared" si="59"/>
        <v>46.08956495282095</v>
      </c>
      <c r="CQ154" s="33">
        <f t="shared" si="60"/>
        <v>0</v>
      </c>
      <c r="CR154" s="29">
        <v>71</v>
      </c>
      <c r="CT154" s="33">
        <v>72</v>
      </c>
      <c r="CU154" s="33">
        <f t="shared" si="61"/>
        <v>260.90277777777777</v>
      </c>
      <c r="CV154" s="33">
        <f t="shared" si="62"/>
        <v>90.935314588319585</v>
      </c>
      <c r="CW154" s="33">
        <f t="shared" si="63"/>
        <v>0</v>
      </c>
      <c r="CX154" s="29">
        <v>71</v>
      </c>
      <c r="CZ154" s="33">
        <v>72</v>
      </c>
      <c r="DA154" s="33">
        <f t="shared" si="64"/>
        <v>300.8055555555556</v>
      </c>
      <c r="DB154" s="33">
        <f t="shared" si="65"/>
        <v>181.71303531609669</v>
      </c>
      <c r="DC154" s="33">
        <f t="shared" si="66"/>
        <v>0</v>
      </c>
      <c r="DD154" s="29">
        <v>71</v>
      </c>
      <c r="DF154" s="60">
        <v>72</v>
      </c>
      <c r="DG154" s="60">
        <f t="shared" si="67"/>
        <v>392.88888888888891</v>
      </c>
      <c r="DH154" s="60">
        <f t="shared" si="68"/>
        <v>312.56172610324137</v>
      </c>
      <c r="DI154" s="60">
        <f t="shared" si="69"/>
        <v>0</v>
      </c>
      <c r="DJ154" s="51">
        <v>71</v>
      </c>
      <c r="DL154" s="60">
        <v>72</v>
      </c>
      <c r="DM154" s="60">
        <f t="shared" si="70"/>
        <v>521.80555555555554</v>
      </c>
      <c r="DN154" s="60" t="e">
        <f t="shared" si="71"/>
        <v>#VALUE!</v>
      </c>
      <c r="DO154" s="60" t="e">
        <f t="shared" si="72"/>
        <v>#VALUE!</v>
      </c>
      <c r="DP154" s="51">
        <v>71</v>
      </c>
    </row>
    <row r="155" spans="86:120" ht="15" customHeight="1">
      <c r="CH155" s="33">
        <v>73</v>
      </c>
      <c r="CI155" s="33">
        <f t="shared" si="55"/>
        <v>224.06944444444446</v>
      </c>
      <c r="CJ155" s="33">
        <f t="shared" si="56"/>
        <v>17.944298429150692</v>
      </c>
      <c r="CK155" s="33">
        <f t="shared" si="57"/>
        <v>0</v>
      </c>
      <c r="CL155" s="29">
        <v>72</v>
      </c>
      <c r="CN155" s="33">
        <v>73</v>
      </c>
      <c r="CO155" s="33">
        <f t="shared" si="58"/>
        <v>236.34722222222223</v>
      </c>
      <c r="CP155" s="33">
        <f t="shared" si="59"/>
        <v>46.182529558057091</v>
      </c>
      <c r="CQ155" s="33">
        <f t="shared" si="60"/>
        <v>0</v>
      </c>
      <c r="CR155" s="29">
        <v>72</v>
      </c>
      <c r="CT155" s="33">
        <v>73</v>
      </c>
      <c r="CU155" s="33">
        <f t="shared" si="61"/>
        <v>263.97222222222223</v>
      </c>
      <c r="CV155" s="33">
        <f t="shared" si="62"/>
        <v>91.077312895824363</v>
      </c>
      <c r="CW155" s="33">
        <f t="shared" si="63"/>
        <v>0</v>
      </c>
      <c r="CX155" s="29">
        <v>72</v>
      </c>
      <c r="CZ155" s="33">
        <v>73</v>
      </c>
      <c r="DA155" s="33">
        <f t="shared" si="64"/>
        <v>303.875</v>
      </c>
      <c r="DB155" s="33">
        <f t="shared" si="65"/>
        <v>181.93141282222615</v>
      </c>
      <c r="DC155" s="33">
        <f t="shared" si="66"/>
        <v>0</v>
      </c>
      <c r="DD155" s="29">
        <v>72</v>
      </c>
      <c r="DF155" s="60">
        <v>73</v>
      </c>
      <c r="DG155" s="60">
        <f t="shared" si="67"/>
        <v>395.95833333333337</v>
      </c>
      <c r="DH155" s="60">
        <f t="shared" si="68"/>
        <v>312.86601828961199</v>
      </c>
      <c r="DI155" s="60">
        <f t="shared" si="69"/>
        <v>0</v>
      </c>
      <c r="DJ155" s="51">
        <v>72</v>
      </c>
      <c r="DL155" s="60">
        <v>73</v>
      </c>
      <c r="DM155" s="60">
        <f t="shared" si="70"/>
        <v>524.875</v>
      </c>
      <c r="DN155" s="60" t="e">
        <f t="shared" si="71"/>
        <v>#VALUE!</v>
      </c>
      <c r="DO155" s="60" t="e">
        <f t="shared" si="72"/>
        <v>#VALUE!</v>
      </c>
      <c r="DP155" s="51">
        <v>72</v>
      </c>
    </row>
    <row r="156" spans="86:120">
      <c r="CH156" s="33">
        <v>74</v>
      </c>
      <c r="CI156" s="33">
        <f t="shared" si="55"/>
        <v>227.13888888888891</v>
      </c>
      <c r="CJ156" s="33">
        <f t="shared" si="56"/>
        <v>17.995254308488683</v>
      </c>
      <c r="CK156" s="33">
        <f t="shared" si="57"/>
        <v>0</v>
      </c>
      <c r="CL156" s="29">
        <v>73</v>
      </c>
      <c r="CN156" s="33">
        <v>74</v>
      </c>
      <c r="CO156" s="33">
        <f t="shared" si="58"/>
        <v>239.41666666666669</v>
      </c>
      <c r="CP156" s="33">
        <f t="shared" si="59"/>
        <v>46.275494163293224</v>
      </c>
      <c r="CQ156" s="33">
        <f t="shared" si="60"/>
        <v>0</v>
      </c>
      <c r="CR156" s="29">
        <v>73</v>
      </c>
      <c r="CT156" s="33">
        <v>74</v>
      </c>
      <c r="CU156" s="33">
        <f t="shared" si="61"/>
        <v>267.04166666666669</v>
      </c>
      <c r="CV156" s="33">
        <f t="shared" si="62"/>
        <v>91.219311203329127</v>
      </c>
      <c r="CW156" s="33">
        <f t="shared" si="63"/>
        <v>0</v>
      </c>
      <c r="CX156" s="29">
        <v>73</v>
      </c>
      <c r="CZ156" s="33">
        <v>74</v>
      </c>
      <c r="DA156" s="33">
        <f t="shared" si="64"/>
        <v>306.94444444444446</v>
      </c>
      <c r="DB156" s="33">
        <f t="shared" si="65"/>
        <v>182.14979032835564</v>
      </c>
      <c r="DC156" s="33">
        <f t="shared" si="66"/>
        <v>0</v>
      </c>
      <c r="DD156" s="29">
        <v>73</v>
      </c>
      <c r="DF156" s="60">
        <v>74</v>
      </c>
      <c r="DG156" s="60">
        <f t="shared" si="67"/>
        <v>399.02777777777783</v>
      </c>
      <c r="DH156" s="60">
        <f t="shared" si="68"/>
        <v>313.1703104759826</v>
      </c>
      <c r="DI156" s="60">
        <f t="shared" si="69"/>
        <v>0</v>
      </c>
      <c r="DJ156" s="51">
        <v>73</v>
      </c>
      <c r="DL156" s="60">
        <v>74</v>
      </c>
      <c r="DM156" s="60">
        <f t="shared" si="70"/>
        <v>527.94444444444446</v>
      </c>
      <c r="DN156" s="60" t="e">
        <f t="shared" si="71"/>
        <v>#VALUE!</v>
      </c>
      <c r="DO156" s="60" t="e">
        <f t="shared" si="72"/>
        <v>#VALUE!</v>
      </c>
      <c r="DP156" s="51">
        <v>73</v>
      </c>
    </row>
    <row r="157" spans="86:120">
      <c r="CH157" s="33">
        <v>75</v>
      </c>
      <c r="CI157" s="33">
        <f t="shared" si="55"/>
        <v>230.20833333333334</v>
      </c>
      <c r="CJ157" s="33">
        <f t="shared" si="56"/>
        <v>18.046210187826674</v>
      </c>
      <c r="CK157" s="33">
        <f t="shared" si="57"/>
        <v>0</v>
      </c>
      <c r="CL157" s="29">
        <v>74</v>
      </c>
      <c r="CN157" s="33">
        <v>75</v>
      </c>
      <c r="CO157" s="33">
        <f t="shared" si="58"/>
        <v>242.48611111111111</v>
      </c>
      <c r="CP157" s="33">
        <f t="shared" si="59"/>
        <v>46.368458768529358</v>
      </c>
      <c r="CQ157" s="33">
        <f t="shared" si="60"/>
        <v>0</v>
      </c>
      <c r="CR157" s="29">
        <v>74</v>
      </c>
      <c r="CT157" s="33">
        <v>75</v>
      </c>
      <c r="CU157" s="33">
        <f t="shared" si="61"/>
        <v>270.11111111111114</v>
      </c>
      <c r="CV157" s="33">
        <f t="shared" si="62"/>
        <v>91.361309510833891</v>
      </c>
      <c r="CW157" s="33">
        <f t="shared" si="63"/>
        <v>0</v>
      </c>
      <c r="CX157" s="29">
        <v>74</v>
      </c>
      <c r="CZ157" s="33">
        <v>75</v>
      </c>
      <c r="DA157" s="33">
        <f t="shared" si="64"/>
        <v>310.01388888888891</v>
      </c>
      <c r="DB157" s="33">
        <f t="shared" si="65"/>
        <v>182.36816783448506</v>
      </c>
      <c r="DC157" s="33">
        <f t="shared" si="66"/>
        <v>0</v>
      </c>
      <c r="DD157" s="29">
        <v>74</v>
      </c>
      <c r="DF157" s="60">
        <v>75</v>
      </c>
      <c r="DG157" s="60">
        <f t="shared" si="67"/>
        <v>402.09722222222223</v>
      </c>
      <c r="DH157" s="60">
        <f t="shared" si="68"/>
        <v>313.47460266235328</v>
      </c>
      <c r="DI157" s="60">
        <f t="shared" si="69"/>
        <v>0</v>
      </c>
      <c r="DJ157" s="51">
        <v>74</v>
      </c>
      <c r="DL157" s="60">
        <v>75</v>
      </c>
      <c r="DM157" s="60">
        <f t="shared" si="70"/>
        <v>531.01388888888891</v>
      </c>
      <c r="DN157" s="60" t="e">
        <f t="shared" si="71"/>
        <v>#VALUE!</v>
      </c>
      <c r="DO157" s="60" t="e">
        <f t="shared" si="72"/>
        <v>#VALUE!</v>
      </c>
      <c r="DP157" s="51">
        <v>74</v>
      </c>
    </row>
    <row r="158" spans="86:120">
      <c r="CH158" s="33">
        <v>76</v>
      </c>
      <c r="CI158" s="33">
        <f t="shared" si="55"/>
        <v>233.2777777777778</v>
      </c>
      <c r="CJ158" s="33">
        <f t="shared" si="56"/>
        <v>18.097166067164668</v>
      </c>
      <c r="CK158" s="33">
        <f t="shared" si="57"/>
        <v>0</v>
      </c>
      <c r="CL158" s="29">
        <v>75</v>
      </c>
      <c r="CN158" s="33">
        <v>76</v>
      </c>
      <c r="CO158" s="33">
        <f t="shared" si="58"/>
        <v>245.55555555555557</v>
      </c>
      <c r="CP158" s="33">
        <f t="shared" si="59"/>
        <v>46.461423373765498</v>
      </c>
      <c r="CQ158" s="33">
        <f t="shared" si="60"/>
        <v>0</v>
      </c>
      <c r="CR158" s="29">
        <v>75</v>
      </c>
      <c r="CT158" s="33">
        <v>76</v>
      </c>
      <c r="CU158" s="33">
        <f t="shared" si="61"/>
        <v>273.1805555555556</v>
      </c>
      <c r="CV158" s="33">
        <f t="shared" si="62"/>
        <v>91.503307818338669</v>
      </c>
      <c r="CW158" s="33">
        <f t="shared" si="63"/>
        <v>0</v>
      </c>
      <c r="CX158" s="29">
        <v>75</v>
      </c>
      <c r="CZ158" s="33">
        <v>76</v>
      </c>
      <c r="DA158" s="33">
        <f t="shared" si="64"/>
        <v>313.08333333333337</v>
      </c>
      <c r="DB158" s="33">
        <f t="shared" si="65"/>
        <v>182.58654534061452</v>
      </c>
      <c r="DC158" s="33">
        <f t="shared" si="66"/>
        <v>0</v>
      </c>
      <c r="DD158" s="29">
        <v>75</v>
      </c>
      <c r="DF158" s="60">
        <v>76</v>
      </c>
      <c r="DG158" s="60">
        <f t="shared" si="67"/>
        <v>405.16666666666669</v>
      </c>
      <c r="DH158" s="60">
        <f t="shared" si="68"/>
        <v>313.77889484872389</v>
      </c>
      <c r="DI158" s="60">
        <f t="shared" si="69"/>
        <v>0</v>
      </c>
      <c r="DJ158" s="51">
        <v>75</v>
      </c>
      <c r="DL158" s="60">
        <v>76</v>
      </c>
      <c r="DM158" s="60">
        <f t="shared" si="70"/>
        <v>534.08333333333337</v>
      </c>
      <c r="DN158" s="60" t="e">
        <f t="shared" si="71"/>
        <v>#VALUE!</v>
      </c>
      <c r="DO158" s="60" t="e">
        <f t="shared" si="72"/>
        <v>#VALUE!</v>
      </c>
      <c r="DP158" s="51">
        <v>75</v>
      </c>
    </row>
    <row r="159" spans="86:120">
      <c r="CH159" s="33">
        <v>77</v>
      </c>
      <c r="CI159" s="33">
        <f t="shared" si="55"/>
        <v>236.34722222222223</v>
      </c>
      <c r="CJ159" s="33">
        <f t="shared" si="56"/>
        <v>18.148121946502656</v>
      </c>
      <c r="CK159" s="33">
        <f t="shared" si="57"/>
        <v>0</v>
      </c>
      <c r="CL159" s="29">
        <v>76</v>
      </c>
      <c r="CN159" s="33">
        <v>77</v>
      </c>
      <c r="CO159" s="33">
        <f t="shared" si="58"/>
        <v>248.62500000000003</v>
      </c>
      <c r="CP159" s="33">
        <f t="shared" si="59"/>
        <v>46.554387979001632</v>
      </c>
      <c r="CQ159" s="33">
        <f t="shared" si="60"/>
        <v>0</v>
      </c>
      <c r="CR159" s="29">
        <v>76</v>
      </c>
      <c r="CT159" s="33">
        <v>77</v>
      </c>
      <c r="CU159" s="33">
        <f t="shared" si="61"/>
        <v>276.25</v>
      </c>
      <c r="CV159" s="33">
        <f t="shared" si="62"/>
        <v>91.645306125843433</v>
      </c>
      <c r="CW159" s="33">
        <f t="shared" si="63"/>
        <v>0</v>
      </c>
      <c r="CX159" s="29">
        <v>76</v>
      </c>
      <c r="CZ159" s="33">
        <v>77</v>
      </c>
      <c r="DA159" s="33">
        <f t="shared" si="64"/>
        <v>316.15277777777777</v>
      </c>
      <c r="DB159" s="33">
        <f t="shared" si="65"/>
        <v>182.80492284674395</v>
      </c>
      <c r="DC159" s="33">
        <f t="shared" si="66"/>
        <v>0</v>
      </c>
      <c r="DD159" s="29">
        <v>76</v>
      </c>
      <c r="DF159" s="60">
        <v>77</v>
      </c>
      <c r="DG159" s="60">
        <f t="shared" si="67"/>
        <v>408.23611111111114</v>
      </c>
      <c r="DH159" s="60">
        <f t="shared" si="68"/>
        <v>314.08318703509457</v>
      </c>
      <c r="DI159" s="60">
        <f t="shared" si="69"/>
        <v>0</v>
      </c>
      <c r="DJ159" s="51">
        <v>76</v>
      </c>
      <c r="DL159" s="60">
        <v>77</v>
      </c>
      <c r="DM159" s="60">
        <f t="shared" si="70"/>
        <v>537.15277777777783</v>
      </c>
      <c r="DN159" s="60" t="e">
        <f t="shared" si="71"/>
        <v>#VALUE!</v>
      </c>
      <c r="DO159" s="60" t="e">
        <f t="shared" si="72"/>
        <v>#VALUE!</v>
      </c>
      <c r="DP159" s="51">
        <v>76</v>
      </c>
    </row>
    <row r="160" spans="86:120">
      <c r="CH160" s="33">
        <v>78</v>
      </c>
      <c r="CI160" s="33">
        <f t="shared" si="55"/>
        <v>239.41666666666669</v>
      </c>
      <c r="CJ160" s="33">
        <f t="shared" si="56"/>
        <v>18.19907782584065</v>
      </c>
      <c r="CK160" s="33">
        <f t="shared" si="57"/>
        <v>0</v>
      </c>
      <c r="CL160" s="29">
        <v>77</v>
      </c>
      <c r="CN160" s="33">
        <v>78</v>
      </c>
      <c r="CO160" s="33">
        <f t="shared" si="58"/>
        <v>251.69444444444446</v>
      </c>
      <c r="CP160" s="33">
        <f t="shared" si="59"/>
        <v>46.647352584237765</v>
      </c>
      <c r="CQ160" s="33">
        <f t="shared" si="60"/>
        <v>0</v>
      </c>
      <c r="CR160" s="29">
        <v>77</v>
      </c>
      <c r="CT160" s="33">
        <v>78</v>
      </c>
      <c r="CU160" s="33">
        <f t="shared" si="61"/>
        <v>279.31944444444446</v>
      </c>
      <c r="CV160" s="33">
        <f t="shared" si="62"/>
        <v>91.787304433348211</v>
      </c>
      <c r="CW160" s="33">
        <f t="shared" si="63"/>
        <v>0</v>
      </c>
      <c r="CX160" s="29">
        <v>77</v>
      </c>
      <c r="CZ160" s="33">
        <v>78</v>
      </c>
      <c r="DA160" s="33">
        <f t="shared" si="64"/>
        <v>319.22222222222223</v>
      </c>
      <c r="DB160" s="33">
        <f t="shared" si="65"/>
        <v>183.02330035287343</v>
      </c>
      <c r="DC160" s="33">
        <f t="shared" si="66"/>
        <v>0</v>
      </c>
      <c r="DD160" s="29">
        <v>77</v>
      </c>
      <c r="DF160" s="60">
        <v>78</v>
      </c>
      <c r="DG160" s="60">
        <f t="shared" si="67"/>
        <v>411.3055555555556</v>
      </c>
      <c r="DH160" s="60">
        <f t="shared" si="68"/>
        <v>314.38747922146518</v>
      </c>
      <c r="DI160" s="60">
        <f t="shared" si="69"/>
        <v>0</v>
      </c>
      <c r="DJ160" s="51">
        <v>77</v>
      </c>
      <c r="DL160" s="60">
        <v>78</v>
      </c>
      <c r="DM160" s="60">
        <f t="shared" si="70"/>
        <v>540.22222222222229</v>
      </c>
      <c r="DN160" s="60" t="e">
        <f t="shared" si="71"/>
        <v>#VALUE!</v>
      </c>
      <c r="DO160" s="60" t="e">
        <f t="shared" si="72"/>
        <v>#VALUE!</v>
      </c>
      <c r="DP160" s="51">
        <v>77</v>
      </c>
    </row>
    <row r="161" spans="86:120">
      <c r="CH161" s="33">
        <v>79</v>
      </c>
      <c r="CI161" s="33">
        <f t="shared" si="55"/>
        <v>242.48611111111111</v>
      </c>
      <c r="CJ161" s="33">
        <f t="shared" si="56"/>
        <v>18.250033705178645</v>
      </c>
      <c r="CK161" s="33">
        <f t="shared" si="57"/>
        <v>0</v>
      </c>
      <c r="CL161" s="29">
        <v>78</v>
      </c>
      <c r="CN161" s="33">
        <v>79</v>
      </c>
      <c r="CO161" s="33">
        <f t="shared" si="58"/>
        <v>254.76388888888891</v>
      </c>
      <c r="CP161" s="33">
        <f t="shared" si="59"/>
        <v>46.740317189473899</v>
      </c>
      <c r="CQ161" s="33">
        <f t="shared" si="60"/>
        <v>0</v>
      </c>
      <c r="CR161" s="29">
        <v>78</v>
      </c>
      <c r="CT161" s="33">
        <v>79</v>
      </c>
      <c r="CU161" s="33">
        <f t="shared" si="61"/>
        <v>282.38888888888891</v>
      </c>
      <c r="CV161" s="33">
        <f t="shared" si="62"/>
        <v>91.929302740852975</v>
      </c>
      <c r="CW161" s="33">
        <f t="shared" si="63"/>
        <v>0</v>
      </c>
      <c r="CX161" s="29">
        <v>78</v>
      </c>
      <c r="CZ161" s="33">
        <v>79</v>
      </c>
      <c r="DA161" s="33">
        <f t="shared" si="64"/>
        <v>322.29166666666669</v>
      </c>
      <c r="DB161" s="33">
        <f t="shared" si="65"/>
        <v>183.24167785900289</v>
      </c>
      <c r="DC161" s="33">
        <f t="shared" si="66"/>
        <v>0</v>
      </c>
      <c r="DD161" s="29">
        <v>78</v>
      </c>
      <c r="DF161" s="60">
        <v>79</v>
      </c>
      <c r="DG161" s="60">
        <f t="shared" si="67"/>
        <v>414.375</v>
      </c>
      <c r="DH161" s="60">
        <f t="shared" si="68"/>
        <v>314.6917714078358</v>
      </c>
      <c r="DI161" s="60">
        <f t="shared" si="69"/>
        <v>0</v>
      </c>
      <c r="DJ161" s="51">
        <v>78</v>
      </c>
      <c r="DL161" s="60">
        <v>79</v>
      </c>
      <c r="DM161" s="60">
        <f t="shared" si="70"/>
        <v>543.29166666666674</v>
      </c>
      <c r="DN161" s="60" t="e">
        <f t="shared" si="71"/>
        <v>#VALUE!</v>
      </c>
      <c r="DO161" s="60" t="e">
        <f t="shared" si="72"/>
        <v>#VALUE!</v>
      </c>
      <c r="DP161" s="51">
        <v>78</v>
      </c>
    </row>
    <row r="162" spans="86:120">
      <c r="CH162" s="33">
        <v>80</v>
      </c>
      <c r="CI162" s="33">
        <f t="shared" si="55"/>
        <v>245.55555555555557</v>
      </c>
      <c r="CJ162" s="33">
        <f t="shared" si="56"/>
        <v>18.300989584516635</v>
      </c>
      <c r="CK162" s="33">
        <f t="shared" si="57"/>
        <v>0</v>
      </c>
      <c r="CL162" s="29">
        <v>79</v>
      </c>
      <c r="CN162" s="33">
        <v>80</v>
      </c>
      <c r="CO162" s="33">
        <f t="shared" si="58"/>
        <v>257.83333333333337</v>
      </c>
      <c r="CP162" s="33">
        <f t="shared" si="59"/>
        <v>46.833281794710032</v>
      </c>
      <c r="CQ162" s="33">
        <f t="shared" si="60"/>
        <v>0</v>
      </c>
      <c r="CR162" s="29">
        <v>79</v>
      </c>
      <c r="CT162" s="33">
        <v>80</v>
      </c>
      <c r="CU162" s="33">
        <f t="shared" si="61"/>
        <v>285.45833333333337</v>
      </c>
      <c r="CV162" s="33">
        <f t="shared" si="62"/>
        <v>92.071301048357739</v>
      </c>
      <c r="CW162" s="33">
        <f t="shared" si="63"/>
        <v>0</v>
      </c>
      <c r="CX162" s="29">
        <v>79</v>
      </c>
      <c r="CZ162" s="33">
        <v>80</v>
      </c>
      <c r="DA162" s="33">
        <f t="shared" si="64"/>
        <v>325.36111111111114</v>
      </c>
      <c r="DB162" s="33">
        <f t="shared" si="65"/>
        <v>183.46005536513232</v>
      </c>
      <c r="DC162" s="33">
        <f t="shared" si="66"/>
        <v>0</v>
      </c>
      <c r="DD162" s="29">
        <v>79</v>
      </c>
      <c r="DF162" s="60">
        <v>80</v>
      </c>
      <c r="DG162" s="60">
        <f t="shared" si="67"/>
        <v>417.44444444444446</v>
      </c>
      <c r="DH162" s="60">
        <f t="shared" si="68"/>
        <v>314.99606359420653</v>
      </c>
      <c r="DI162" s="60">
        <f t="shared" si="69"/>
        <v>0</v>
      </c>
      <c r="DJ162" s="51">
        <v>79</v>
      </c>
      <c r="DL162" s="60">
        <v>80</v>
      </c>
      <c r="DM162" s="60">
        <f t="shared" si="70"/>
        <v>546.3611111111112</v>
      </c>
      <c r="DN162" s="60" t="e">
        <f t="shared" si="71"/>
        <v>#VALUE!</v>
      </c>
      <c r="DO162" s="60" t="e">
        <f t="shared" si="72"/>
        <v>#VALUE!</v>
      </c>
      <c r="DP162" s="51">
        <v>79</v>
      </c>
    </row>
    <row r="163" spans="86:120">
      <c r="CH163" s="33">
        <v>81</v>
      </c>
      <c r="CI163" s="33">
        <f t="shared" si="55"/>
        <v>248.62500000000003</v>
      </c>
      <c r="CJ163" s="33">
        <f t="shared" si="56"/>
        <v>18.351945463854626</v>
      </c>
      <c r="CK163" s="33">
        <f t="shared" si="57"/>
        <v>0</v>
      </c>
      <c r="CL163" s="29">
        <v>80</v>
      </c>
      <c r="CN163" s="33">
        <v>81</v>
      </c>
      <c r="CO163" s="33">
        <f t="shared" si="58"/>
        <v>260.90277777777777</v>
      </c>
      <c r="CP163" s="33">
        <f t="shared" si="59"/>
        <v>46.926246399946173</v>
      </c>
      <c r="CQ163" s="33">
        <f t="shared" si="60"/>
        <v>0</v>
      </c>
      <c r="CR163" s="29">
        <v>80</v>
      </c>
      <c r="CT163" s="33">
        <v>81</v>
      </c>
      <c r="CU163" s="33">
        <f t="shared" si="61"/>
        <v>288.52777777777777</v>
      </c>
      <c r="CV163" s="33">
        <f t="shared" si="62"/>
        <v>92.213299355862517</v>
      </c>
      <c r="CW163" s="33">
        <f t="shared" si="63"/>
        <v>0</v>
      </c>
      <c r="CX163" s="29">
        <v>80</v>
      </c>
      <c r="CZ163" s="33">
        <v>81</v>
      </c>
      <c r="DA163" s="33">
        <f t="shared" si="64"/>
        <v>328.4305555555556</v>
      </c>
      <c r="DB163" s="33">
        <f t="shared" si="65"/>
        <v>183.67843287126178</v>
      </c>
      <c r="DC163" s="33">
        <f t="shared" si="66"/>
        <v>0</v>
      </c>
      <c r="DD163" s="29">
        <v>80</v>
      </c>
      <c r="DF163" s="60">
        <v>81</v>
      </c>
      <c r="DG163" s="60">
        <f t="shared" si="67"/>
        <v>420.51388888888891</v>
      </c>
      <c r="DH163" s="60">
        <f t="shared" si="68"/>
        <v>315.30035578057715</v>
      </c>
      <c r="DI163" s="60">
        <f t="shared" si="69"/>
        <v>0</v>
      </c>
      <c r="DJ163" s="51">
        <v>80</v>
      </c>
      <c r="DL163" s="60">
        <v>81</v>
      </c>
      <c r="DM163" s="60">
        <f t="shared" si="70"/>
        <v>549.43055555555554</v>
      </c>
      <c r="DN163" s="60" t="e">
        <f t="shared" si="71"/>
        <v>#VALUE!</v>
      </c>
      <c r="DO163" s="60" t="e">
        <f t="shared" si="72"/>
        <v>#VALUE!</v>
      </c>
      <c r="DP163" s="51">
        <v>80</v>
      </c>
    </row>
    <row r="164" spans="86:120">
      <c r="CH164" s="33">
        <v>82</v>
      </c>
      <c r="CI164" s="33">
        <f t="shared" si="55"/>
        <v>251.69444444444446</v>
      </c>
      <c r="CJ164" s="33">
        <f t="shared" si="56"/>
        <v>18.402901343192621</v>
      </c>
      <c r="CK164" s="33">
        <f t="shared" si="57"/>
        <v>0</v>
      </c>
      <c r="CL164" s="29">
        <v>81</v>
      </c>
      <c r="CN164" s="33">
        <v>82</v>
      </c>
      <c r="CO164" s="33">
        <f t="shared" si="58"/>
        <v>263.97222222222223</v>
      </c>
      <c r="CP164" s="33">
        <f t="shared" si="59"/>
        <v>47.019211005182306</v>
      </c>
      <c r="CQ164" s="33">
        <f t="shared" si="60"/>
        <v>0</v>
      </c>
      <c r="CR164" s="29">
        <v>81</v>
      </c>
      <c r="CT164" s="33">
        <v>82</v>
      </c>
      <c r="CU164" s="33">
        <f t="shared" si="61"/>
        <v>291.59722222222223</v>
      </c>
      <c r="CV164" s="33">
        <f t="shared" si="62"/>
        <v>92.355297663367281</v>
      </c>
      <c r="CW164" s="33">
        <f t="shared" si="63"/>
        <v>0</v>
      </c>
      <c r="CX164" s="29">
        <v>81</v>
      </c>
      <c r="CZ164" s="33">
        <v>82</v>
      </c>
      <c r="DA164" s="33">
        <f t="shared" si="64"/>
        <v>331.5</v>
      </c>
      <c r="DB164" s="33">
        <f t="shared" si="65"/>
        <v>183.89681037739126</v>
      </c>
      <c r="DC164" s="33">
        <f t="shared" si="66"/>
        <v>0</v>
      </c>
      <c r="DD164" s="29">
        <v>81</v>
      </c>
      <c r="DF164" s="60">
        <v>82</v>
      </c>
      <c r="DG164" s="60">
        <f t="shared" si="67"/>
        <v>423.58333333333337</v>
      </c>
      <c r="DH164" s="60">
        <f t="shared" si="68"/>
        <v>315.60464796694782</v>
      </c>
      <c r="DI164" s="60">
        <f t="shared" si="69"/>
        <v>0</v>
      </c>
      <c r="DJ164" s="51">
        <v>81</v>
      </c>
      <c r="DL164" s="60">
        <v>82</v>
      </c>
      <c r="DM164" s="60">
        <f t="shared" si="70"/>
        <v>552.5</v>
      </c>
      <c r="DN164" s="60" t="e">
        <f t="shared" si="71"/>
        <v>#VALUE!</v>
      </c>
      <c r="DO164" s="60" t="e">
        <f t="shared" si="72"/>
        <v>#VALUE!</v>
      </c>
      <c r="DP164" s="51">
        <v>81</v>
      </c>
    </row>
    <row r="165" spans="86:120">
      <c r="CH165" s="33">
        <v>83</v>
      </c>
      <c r="CI165" s="33">
        <f t="shared" si="55"/>
        <v>254.76388888888891</v>
      </c>
      <c r="CJ165" s="33">
        <f t="shared" si="56"/>
        <v>18.453857222530612</v>
      </c>
      <c r="CK165" s="33">
        <f t="shared" si="57"/>
        <v>0</v>
      </c>
      <c r="CL165" s="29">
        <v>82</v>
      </c>
      <c r="CN165" s="33">
        <v>83</v>
      </c>
      <c r="CO165" s="33">
        <f t="shared" si="58"/>
        <v>267.04166666666669</v>
      </c>
      <c r="CP165" s="33">
        <f t="shared" si="59"/>
        <v>47.11217561041844</v>
      </c>
      <c r="CQ165" s="33">
        <f t="shared" si="60"/>
        <v>0</v>
      </c>
      <c r="CR165" s="29">
        <v>82</v>
      </c>
      <c r="CT165" s="33">
        <v>83</v>
      </c>
      <c r="CU165" s="33">
        <f t="shared" si="61"/>
        <v>294.66666666666669</v>
      </c>
      <c r="CV165" s="33">
        <f t="shared" si="62"/>
        <v>92.497295970872059</v>
      </c>
      <c r="CW165" s="33">
        <f t="shared" si="63"/>
        <v>0</v>
      </c>
      <c r="CX165" s="29">
        <v>82</v>
      </c>
      <c r="CZ165" s="33">
        <v>83</v>
      </c>
      <c r="DA165" s="33">
        <f t="shared" si="64"/>
        <v>334.56944444444446</v>
      </c>
      <c r="DB165" s="33">
        <f t="shared" si="65"/>
        <v>184.11518788352069</v>
      </c>
      <c r="DC165" s="33">
        <f t="shared" si="66"/>
        <v>0</v>
      </c>
      <c r="DD165" s="29">
        <v>82</v>
      </c>
      <c r="DF165" s="60">
        <v>83</v>
      </c>
      <c r="DG165" s="60">
        <f t="shared" si="67"/>
        <v>426.65277777777783</v>
      </c>
      <c r="DH165" s="60">
        <f t="shared" si="68"/>
        <v>315.90894015331844</v>
      </c>
      <c r="DI165" s="60">
        <f t="shared" si="69"/>
        <v>0</v>
      </c>
      <c r="DJ165" s="51">
        <v>82</v>
      </c>
      <c r="DL165" s="60">
        <v>83</v>
      </c>
      <c r="DM165" s="60">
        <f t="shared" si="70"/>
        <v>555.56944444444446</v>
      </c>
      <c r="DN165" s="60" t="e">
        <f t="shared" si="71"/>
        <v>#VALUE!</v>
      </c>
      <c r="DO165" s="60" t="e">
        <f t="shared" si="72"/>
        <v>#VALUE!</v>
      </c>
      <c r="DP165" s="51">
        <v>82</v>
      </c>
    </row>
    <row r="166" spans="86:120">
      <c r="CH166" s="33">
        <v>84</v>
      </c>
      <c r="CI166" s="33">
        <f t="shared" si="55"/>
        <v>257.83333333333337</v>
      </c>
      <c r="CJ166" s="33">
        <f t="shared" si="56"/>
        <v>18.504813101868603</v>
      </c>
      <c r="CK166" s="33">
        <f t="shared" si="57"/>
        <v>0</v>
      </c>
      <c r="CL166" s="29">
        <v>83</v>
      </c>
      <c r="CN166" s="33">
        <v>84</v>
      </c>
      <c r="CO166" s="33">
        <f t="shared" si="58"/>
        <v>270.11111111111114</v>
      </c>
      <c r="CP166" s="33">
        <f t="shared" si="59"/>
        <v>47.205140215654581</v>
      </c>
      <c r="CQ166" s="33">
        <f t="shared" si="60"/>
        <v>0</v>
      </c>
      <c r="CR166" s="29">
        <v>83</v>
      </c>
      <c r="CT166" s="33">
        <v>84</v>
      </c>
      <c r="CU166" s="33">
        <f t="shared" si="61"/>
        <v>297.73611111111114</v>
      </c>
      <c r="CV166" s="33">
        <f t="shared" si="62"/>
        <v>92.639294278376823</v>
      </c>
      <c r="CW166" s="33">
        <f t="shared" si="63"/>
        <v>0</v>
      </c>
      <c r="CX166" s="29">
        <v>83</v>
      </c>
      <c r="CZ166" s="33">
        <v>84</v>
      </c>
      <c r="DA166" s="33">
        <f t="shared" si="64"/>
        <v>337.63888888888891</v>
      </c>
      <c r="DB166" s="33">
        <f t="shared" si="65"/>
        <v>184.33356538965015</v>
      </c>
      <c r="DC166" s="33">
        <f t="shared" si="66"/>
        <v>0</v>
      </c>
      <c r="DD166" s="29">
        <v>83</v>
      </c>
      <c r="DF166" s="60">
        <v>84</v>
      </c>
      <c r="DG166" s="60">
        <f t="shared" si="67"/>
        <v>429.72222222222223</v>
      </c>
      <c r="DH166" s="60">
        <f t="shared" si="68"/>
        <v>316.21323233968906</v>
      </c>
      <c r="DI166" s="60">
        <f t="shared" si="69"/>
        <v>0</v>
      </c>
      <c r="DJ166" s="51">
        <v>83</v>
      </c>
      <c r="DL166" s="60">
        <v>84</v>
      </c>
      <c r="DM166" s="60">
        <f t="shared" si="70"/>
        <v>558.63888888888891</v>
      </c>
      <c r="DN166" s="60" t="e">
        <f t="shared" si="71"/>
        <v>#VALUE!</v>
      </c>
      <c r="DO166" s="60" t="e">
        <f t="shared" si="72"/>
        <v>#VALUE!</v>
      </c>
      <c r="DP166" s="51">
        <v>83</v>
      </c>
    </row>
    <row r="167" spans="86:120">
      <c r="CH167" s="33">
        <v>85</v>
      </c>
      <c r="CI167" s="33">
        <f t="shared" si="55"/>
        <v>260.90277777777777</v>
      </c>
      <c r="CJ167" s="33">
        <f t="shared" si="56"/>
        <v>18.555768981206594</v>
      </c>
      <c r="CK167" s="33">
        <f t="shared" si="57"/>
        <v>0</v>
      </c>
      <c r="CL167" s="29">
        <v>84</v>
      </c>
      <c r="CN167" s="33">
        <v>85</v>
      </c>
      <c r="CO167" s="33">
        <f t="shared" si="58"/>
        <v>273.1805555555556</v>
      </c>
      <c r="CP167" s="33">
        <f t="shared" si="59"/>
        <v>47.298104820890707</v>
      </c>
      <c r="CQ167" s="33">
        <f t="shared" si="60"/>
        <v>0</v>
      </c>
      <c r="CR167" s="29">
        <v>84</v>
      </c>
      <c r="CT167" s="33">
        <v>85</v>
      </c>
      <c r="CU167" s="33">
        <f t="shared" si="61"/>
        <v>300.8055555555556</v>
      </c>
      <c r="CV167" s="33">
        <f t="shared" si="62"/>
        <v>92.781292585881587</v>
      </c>
      <c r="CW167" s="33">
        <f t="shared" si="63"/>
        <v>0</v>
      </c>
      <c r="CX167" s="29">
        <v>84</v>
      </c>
      <c r="CZ167" s="33">
        <v>85</v>
      </c>
      <c r="DA167" s="33">
        <f t="shared" si="64"/>
        <v>340.70833333333337</v>
      </c>
      <c r="DB167" s="33">
        <f t="shared" si="65"/>
        <v>184.55194289577958</v>
      </c>
      <c r="DC167" s="33">
        <f t="shared" si="66"/>
        <v>0</v>
      </c>
      <c r="DD167" s="29">
        <v>84</v>
      </c>
      <c r="DF167" s="60">
        <v>85</v>
      </c>
      <c r="DG167" s="60">
        <f t="shared" si="67"/>
        <v>432.79166666666669</v>
      </c>
      <c r="DH167" s="60">
        <f t="shared" si="68"/>
        <v>316.51752452605967</v>
      </c>
      <c r="DI167" s="60">
        <f t="shared" si="69"/>
        <v>0</v>
      </c>
      <c r="DJ167" s="51">
        <v>84</v>
      </c>
      <c r="DL167" s="60">
        <v>85</v>
      </c>
      <c r="DM167" s="60">
        <f t="shared" si="70"/>
        <v>561.70833333333337</v>
      </c>
      <c r="DN167" s="60" t="e">
        <f t="shared" si="71"/>
        <v>#VALUE!</v>
      </c>
      <c r="DO167" s="60" t="e">
        <f t="shared" si="72"/>
        <v>#VALUE!</v>
      </c>
      <c r="DP167" s="51">
        <v>84</v>
      </c>
    </row>
    <row r="168" spans="86:120">
      <c r="CH168" s="33">
        <v>86</v>
      </c>
      <c r="CI168" s="33">
        <f t="shared" si="55"/>
        <v>263.97222222222223</v>
      </c>
      <c r="CJ168" s="33">
        <f t="shared" si="56"/>
        <v>18.606724860544588</v>
      </c>
      <c r="CK168" s="33">
        <f t="shared" si="57"/>
        <v>0</v>
      </c>
      <c r="CL168" s="29">
        <v>85</v>
      </c>
      <c r="CN168" s="33">
        <v>86</v>
      </c>
      <c r="CO168" s="33">
        <f t="shared" si="58"/>
        <v>276.25</v>
      </c>
      <c r="CP168" s="33">
        <f t="shared" si="59"/>
        <v>47.391069426126847</v>
      </c>
      <c r="CQ168" s="33">
        <f t="shared" si="60"/>
        <v>0</v>
      </c>
      <c r="CR168" s="29">
        <v>85</v>
      </c>
      <c r="CT168" s="33">
        <v>86</v>
      </c>
      <c r="CU168" s="33">
        <f t="shared" si="61"/>
        <v>303.875</v>
      </c>
      <c r="CV168" s="33">
        <f t="shared" si="62"/>
        <v>92.923290893386365</v>
      </c>
      <c r="CW168" s="33">
        <f t="shared" si="63"/>
        <v>0</v>
      </c>
      <c r="CX168" s="29">
        <v>85</v>
      </c>
      <c r="CZ168" s="33">
        <v>86</v>
      </c>
      <c r="DA168" s="33">
        <f t="shared" si="64"/>
        <v>343.77777777777783</v>
      </c>
      <c r="DB168" s="33">
        <f t="shared" si="65"/>
        <v>184.77032040190906</v>
      </c>
      <c r="DC168" s="33">
        <f t="shared" si="66"/>
        <v>0</v>
      </c>
      <c r="DD168" s="29">
        <v>85</v>
      </c>
      <c r="DF168" s="60">
        <v>86</v>
      </c>
      <c r="DG168" s="60">
        <f t="shared" si="67"/>
        <v>435.86111111111114</v>
      </c>
      <c r="DH168" s="60">
        <f t="shared" si="68"/>
        <v>316.82181671243029</v>
      </c>
      <c r="DI168" s="60">
        <f t="shared" si="69"/>
        <v>0</v>
      </c>
      <c r="DJ168" s="51">
        <v>85</v>
      </c>
      <c r="DL168" s="60">
        <v>86</v>
      </c>
      <c r="DM168" s="60">
        <f t="shared" si="70"/>
        <v>564.77777777777783</v>
      </c>
      <c r="DN168" s="60" t="e">
        <f t="shared" si="71"/>
        <v>#VALUE!</v>
      </c>
      <c r="DO168" s="60" t="e">
        <f t="shared" si="72"/>
        <v>#VALUE!</v>
      </c>
      <c r="DP168" s="51">
        <v>85</v>
      </c>
    </row>
    <row r="169" spans="86:120">
      <c r="CH169" s="33">
        <v>87</v>
      </c>
      <c r="CI169" s="33">
        <f t="shared" si="55"/>
        <v>267.04166666666669</v>
      </c>
      <c r="CJ169" s="33">
        <f t="shared" si="56"/>
        <v>18.657680739882579</v>
      </c>
      <c r="CK169" s="33">
        <f t="shared" si="57"/>
        <v>0</v>
      </c>
      <c r="CL169" s="29">
        <v>86</v>
      </c>
      <c r="CN169" s="33">
        <v>87</v>
      </c>
      <c r="CO169" s="33">
        <f t="shared" si="58"/>
        <v>279.31944444444446</v>
      </c>
      <c r="CP169" s="33">
        <f t="shared" si="59"/>
        <v>47.484034031362981</v>
      </c>
      <c r="CQ169" s="33">
        <f t="shared" si="60"/>
        <v>0</v>
      </c>
      <c r="CR169" s="29">
        <v>86</v>
      </c>
      <c r="CT169" s="33">
        <v>87</v>
      </c>
      <c r="CU169" s="33">
        <f t="shared" si="61"/>
        <v>306.94444444444446</v>
      </c>
      <c r="CV169" s="33">
        <f t="shared" si="62"/>
        <v>93.065289200891129</v>
      </c>
      <c r="CW169" s="33">
        <f t="shared" si="63"/>
        <v>0</v>
      </c>
      <c r="CX169" s="29">
        <v>86</v>
      </c>
      <c r="CZ169" s="33">
        <v>87</v>
      </c>
      <c r="DA169" s="33">
        <f t="shared" si="64"/>
        <v>346.84722222222223</v>
      </c>
      <c r="DB169" s="33">
        <f t="shared" si="65"/>
        <v>184.98869790803852</v>
      </c>
      <c r="DC169" s="33">
        <f t="shared" si="66"/>
        <v>0</v>
      </c>
      <c r="DD169" s="29">
        <v>86</v>
      </c>
      <c r="DF169" s="60">
        <v>87</v>
      </c>
      <c r="DG169" s="60">
        <f t="shared" si="67"/>
        <v>438.9305555555556</v>
      </c>
      <c r="DH169" s="60">
        <f t="shared" si="68"/>
        <v>317.12610889880102</v>
      </c>
      <c r="DI169" s="60">
        <f t="shared" si="69"/>
        <v>0</v>
      </c>
      <c r="DJ169" s="51">
        <v>86</v>
      </c>
      <c r="DL169" s="60">
        <v>87</v>
      </c>
      <c r="DM169" s="60">
        <f t="shared" si="70"/>
        <v>567.84722222222229</v>
      </c>
      <c r="DN169" s="60" t="e">
        <f t="shared" si="71"/>
        <v>#VALUE!</v>
      </c>
      <c r="DO169" s="60" t="e">
        <f t="shared" si="72"/>
        <v>#VALUE!</v>
      </c>
      <c r="DP169" s="51">
        <v>86</v>
      </c>
    </row>
    <row r="170" spans="86:120">
      <c r="CH170" s="33">
        <v>88</v>
      </c>
      <c r="CI170" s="33">
        <f t="shared" si="55"/>
        <v>270.11111111111114</v>
      </c>
      <c r="CJ170" s="33">
        <f t="shared" si="56"/>
        <v>18.708636619220574</v>
      </c>
      <c r="CK170" s="33">
        <f t="shared" si="57"/>
        <v>0</v>
      </c>
      <c r="CL170" s="29">
        <v>87</v>
      </c>
      <c r="CN170" s="33">
        <v>88</v>
      </c>
      <c r="CO170" s="33">
        <f t="shared" si="58"/>
        <v>282.38888888888891</v>
      </c>
      <c r="CP170" s="33">
        <f t="shared" si="59"/>
        <v>47.576998636599114</v>
      </c>
      <c r="CQ170" s="33">
        <f t="shared" si="60"/>
        <v>0</v>
      </c>
      <c r="CR170" s="29">
        <v>87</v>
      </c>
      <c r="CT170" s="33">
        <v>88</v>
      </c>
      <c r="CU170" s="33">
        <f t="shared" si="61"/>
        <v>310.01388888888891</v>
      </c>
      <c r="CV170" s="33">
        <f t="shared" si="62"/>
        <v>93.207287508395893</v>
      </c>
      <c r="CW170" s="33">
        <f t="shared" si="63"/>
        <v>0</v>
      </c>
      <c r="CX170" s="29">
        <v>87</v>
      </c>
      <c r="CZ170" s="33">
        <v>88</v>
      </c>
      <c r="DA170" s="33">
        <f t="shared" si="64"/>
        <v>349.91666666666669</v>
      </c>
      <c r="DB170" s="33">
        <f t="shared" si="65"/>
        <v>185.20707541416797</v>
      </c>
      <c r="DC170" s="33">
        <f t="shared" si="66"/>
        <v>0</v>
      </c>
      <c r="DD170" s="29">
        <v>87</v>
      </c>
      <c r="DF170" s="60">
        <v>88</v>
      </c>
      <c r="DG170" s="60">
        <f t="shared" si="67"/>
        <v>442</v>
      </c>
      <c r="DH170" s="60">
        <f t="shared" si="68"/>
        <v>317.43040108517164</v>
      </c>
      <c r="DI170" s="60">
        <f t="shared" si="69"/>
        <v>0</v>
      </c>
      <c r="DJ170" s="51">
        <v>87</v>
      </c>
      <c r="DL170" s="60">
        <v>88</v>
      </c>
      <c r="DM170" s="60">
        <f t="shared" si="70"/>
        <v>570.91666666666674</v>
      </c>
      <c r="DN170" s="60" t="e">
        <f t="shared" si="71"/>
        <v>#VALUE!</v>
      </c>
      <c r="DO170" s="60" t="e">
        <f t="shared" si="72"/>
        <v>#VALUE!</v>
      </c>
      <c r="DP170" s="51">
        <v>87</v>
      </c>
    </row>
    <row r="171" spans="86:120">
      <c r="CH171" s="33">
        <v>89</v>
      </c>
      <c r="CI171" s="33">
        <f t="shared" si="55"/>
        <v>273.1805555555556</v>
      </c>
      <c r="CJ171" s="33">
        <f t="shared" si="56"/>
        <v>18.759592498558565</v>
      </c>
      <c r="CK171" s="33">
        <f t="shared" si="57"/>
        <v>0</v>
      </c>
      <c r="CL171" s="29">
        <v>88</v>
      </c>
      <c r="CN171" s="33">
        <v>89</v>
      </c>
      <c r="CO171" s="33">
        <f t="shared" si="58"/>
        <v>285.45833333333337</v>
      </c>
      <c r="CP171" s="33">
        <f t="shared" si="59"/>
        <v>47.669963241835255</v>
      </c>
      <c r="CQ171" s="33">
        <f t="shared" si="60"/>
        <v>0</v>
      </c>
      <c r="CR171" s="29">
        <v>88</v>
      </c>
      <c r="CT171" s="33">
        <v>89</v>
      </c>
      <c r="CU171" s="33">
        <f t="shared" si="61"/>
        <v>313.08333333333337</v>
      </c>
      <c r="CV171" s="33">
        <f t="shared" si="62"/>
        <v>93.349285815900672</v>
      </c>
      <c r="CW171" s="33">
        <f t="shared" si="63"/>
        <v>0</v>
      </c>
      <c r="CX171" s="29">
        <v>88</v>
      </c>
      <c r="CZ171" s="33">
        <v>89</v>
      </c>
      <c r="DA171" s="33">
        <f t="shared" si="64"/>
        <v>352.98611111111114</v>
      </c>
      <c r="DB171" s="33">
        <f t="shared" si="65"/>
        <v>185.42545292029743</v>
      </c>
      <c r="DC171" s="33">
        <f t="shared" si="66"/>
        <v>0</v>
      </c>
      <c r="DD171" s="29">
        <v>88</v>
      </c>
      <c r="DF171" s="60">
        <v>89</v>
      </c>
      <c r="DG171" s="60">
        <f t="shared" si="67"/>
        <v>445.06944444444446</v>
      </c>
      <c r="DH171" s="60">
        <f t="shared" si="68"/>
        <v>317.73469327154231</v>
      </c>
      <c r="DI171" s="60">
        <f t="shared" si="69"/>
        <v>0</v>
      </c>
      <c r="DJ171" s="51">
        <v>88</v>
      </c>
      <c r="DL171" s="60">
        <v>89</v>
      </c>
      <c r="DM171" s="60">
        <f t="shared" si="70"/>
        <v>573.9861111111112</v>
      </c>
      <c r="DN171" s="60" t="e">
        <f t="shared" si="71"/>
        <v>#VALUE!</v>
      </c>
      <c r="DO171" s="60" t="e">
        <f t="shared" si="72"/>
        <v>#VALUE!</v>
      </c>
      <c r="DP171" s="51">
        <v>88</v>
      </c>
    </row>
    <row r="172" spans="86:120">
      <c r="CH172" s="33">
        <v>90</v>
      </c>
      <c r="CI172" s="33">
        <f t="shared" si="55"/>
        <v>276.25</v>
      </c>
      <c r="CJ172" s="33">
        <f t="shared" si="56"/>
        <v>18.810548377896559</v>
      </c>
      <c r="CK172" s="33">
        <f t="shared" si="57"/>
        <v>0</v>
      </c>
      <c r="CL172" s="29">
        <v>89</v>
      </c>
      <c r="CN172" s="33">
        <v>90</v>
      </c>
      <c r="CO172" s="33">
        <f t="shared" si="58"/>
        <v>288.52777777777777</v>
      </c>
      <c r="CP172" s="33">
        <f t="shared" si="59"/>
        <v>47.762927847071388</v>
      </c>
      <c r="CQ172" s="33">
        <f t="shared" si="60"/>
        <v>0</v>
      </c>
      <c r="CR172" s="29">
        <v>89</v>
      </c>
      <c r="CT172" s="33">
        <v>90</v>
      </c>
      <c r="CU172" s="33">
        <f t="shared" si="61"/>
        <v>316.15277777777777</v>
      </c>
      <c r="CV172" s="33">
        <f t="shared" si="62"/>
        <v>93.491284123405435</v>
      </c>
      <c r="CW172" s="33">
        <f t="shared" si="63"/>
        <v>0</v>
      </c>
      <c r="CX172" s="29">
        <v>89</v>
      </c>
      <c r="CZ172" s="33">
        <v>90</v>
      </c>
      <c r="DA172" s="33">
        <f t="shared" si="64"/>
        <v>356.0555555555556</v>
      </c>
      <c r="DB172" s="33">
        <f t="shared" si="65"/>
        <v>185.64383042642689</v>
      </c>
      <c r="DC172" s="33">
        <f t="shared" si="66"/>
        <v>0</v>
      </c>
      <c r="DD172" s="29">
        <v>89</v>
      </c>
      <c r="DF172" s="60">
        <v>90</v>
      </c>
      <c r="DG172" s="60">
        <f t="shared" si="67"/>
        <v>448.13888888888891</v>
      </c>
      <c r="DH172" s="60">
        <f t="shared" si="68"/>
        <v>318.03898545791293</v>
      </c>
      <c r="DI172" s="60">
        <f t="shared" si="69"/>
        <v>0</v>
      </c>
      <c r="DJ172" s="51">
        <v>89</v>
      </c>
      <c r="DL172" s="60">
        <v>90</v>
      </c>
      <c r="DM172" s="60">
        <f t="shared" si="70"/>
        <v>577.05555555555554</v>
      </c>
      <c r="DN172" s="60" t="e">
        <f t="shared" si="71"/>
        <v>#VALUE!</v>
      </c>
      <c r="DO172" s="60" t="e">
        <f t="shared" si="72"/>
        <v>#VALUE!</v>
      </c>
      <c r="DP172" s="51">
        <v>89</v>
      </c>
    </row>
    <row r="173" spans="86:120">
      <c r="CH173" s="33">
        <v>91</v>
      </c>
      <c r="CI173" s="33">
        <f t="shared" si="55"/>
        <v>279.31944444444446</v>
      </c>
      <c r="CJ173" s="33">
        <f t="shared" si="56"/>
        <v>18.86150425723455</v>
      </c>
      <c r="CK173" s="33">
        <f t="shared" si="57"/>
        <v>0</v>
      </c>
      <c r="CL173" s="29">
        <v>90</v>
      </c>
      <c r="CN173" s="33">
        <v>91</v>
      </c>
      <c r="CO173" s="33">
        <f t="shared" si="58"/>
        <v>291.59722222222223</v>
      </c>
      <c r="CP173" s="33">
        <f t="shared" si="59"/>
        <v>47.855892452307522</v>
      </c>
      <c r="CQ173" s="33">
        <f t="shared" si="60"/>
        <v>0</v>
      </c>
      <c r="CR173" s="29">
        <v>90</v>
      </c>
      <c r="CT173" s="33">
        <v>91</v>
      </c>
      <c r="CU173" s="33">
        <f t="shared" si="61"/>
        <v>319.22222222222223</v>
      </c>
      <c r="CV173" s="33">
        <f t="shared" si="62"/>
        <v>93.633282430910214</v>
      </c>
      <c r="CW173" s="33">
        <f t="shared" si="63"/>
        <v>0</v>
      </c>
      <c r="CX173" s="29">
        <v>90</v>
      </c>
      <c r="CZ173" s="33">
        <v>91</v>
      </c>
      <c r="DA173" s="33">
        <f t="shared" si="64"/>
        <v>359.125</v>
      </c>
      <c r="DB173" s="33">
        <f t="shared" si="65"/>
        <v>185.86220793255632</v>
      </c>
      <c r="DC173" s="33">
        <f t="shared" si="66"/>
        <v>0</v>
      </c>
      <c r="DD173" s="29">
        <v>90</v>
      </c>
      <c r="DF173" s="60">
        <v>91</v>
      </c>
      <c r="DG173" s="60">
        <f t="shared" si="67"/>
        <v>451.20833333333337</v>
      </c>
      <c r="DH173" s="60">
        <f t="shared" si="68"/>
        <v>318.34327764428355</v>
      </c>
      <c r="DI173" s="60">
        <f t="shared" si="69"/>
        <v>0</v>
      </c>
      <c r="DJ173" s="51">
        <v>90</v>
      </c>
      <c r="DL173" s="60">
        <v>91</v>
      </c>
      <c r="DM173" s="60">
        <f t="shared" si="70"/>
        <v>580.125</v>
      </c>
      <c r="DN173" s="60" t="e">
        <f t="shared" si="71"/>
        <v>#VALUE!</v>
      </c>
      <c r="DO173" s="60" t="e">
        <f t="shared" si="72"/>
        <v>#VALUE!</v>
      </c>
      <c r="DP173" s="51">
        <v>90</v>
      </c>
    </row>
    <row r="174" spans="86:120">
      <c r="CH174" s="33">
        <v>92</v>
      </c>
      <c r="CI174" s="33">
        <f t="shared" si="55"/>
        <v>282.38888888888891</v>
      </c>
      <c r="CJ174" s="33">
        <f t="shared" si="56"/>
        <v>18.912460136572545</v>
      </c>
      <c r="CK174" s="33">
        <f t="shared" si="57"/>
        <v>0</v>
      </c>
      <c r="CL174" s="29">
        <v>91</v>
      </c>
      <c r="CN174" s="33">
        <v>92</v>
      </c>
      <c r="CO174" s="33">
        <f t="shared" si="58"/>
        <v>294.66666666666669</v>
      </c>
      <c r="CP174" s="33">
        <f t="shared" si="59"/>
        <v>47.948857057543663</v>
      </c>
      <c r="CQ174" s="33">
        <f t="shared" si="60"/>
        <v>0</v>
      </c>
      <c r="CR174" s="29">
        <v>91</v>
      </c>
      <c r="CT174" s="33">
        <v>92</v>
      </c>
      <c r="CU174" s="33">
        <f t="shared" si="61"/>
        <v>322.29166666666669</v>
      </c>
      <c r="CV174" s="33">
        <f t="shared" si="62"/>
        <v>93.775280738414978</v>
      </c>
      <c r="CW174" s="33">
        <f t="shared" si="63"/>
        <v>0</v>
      </c>
      <c r="CX174" s="29">
        <v>91</v>
      </c>
      <c r="CZ174" s="33">
        <v>92</v>
      </c>
      <c r="DA174" s="33">
        <f t="shared" si="64"/>
        <v>362.19444444444446</v>
      </c>
      <c r="DB174" s="33">
        <f t="shared" si="65"/>
        <v>186.08058543868577</v>
      </c>
      <c r="DC174" s="33">
        <f t="shared" si="66"/>
        <v>0</v>
      </c>
      <c r="DD174" s="29">
        <v>91</v>
      </c>
      <c r="DF174" s="60">
        <v>92</v>
      </c>
      <c r="DG174" s="60">
        <f t="shared" si="67"/>
        <v>454.27777777777783</v>
      </c>
      <c r="DH174" s="60">
        <f t="shared" si="68"/>
        <v>318.64756983065422</v>
      </c>
      <c r="DI174" s="60">
        <f t="shared" si="69"/>
        <v>0</v>
      </c>
      <c r="DJ174" s="51">
        <v>91</v>
      </c>
      <c r="DL174" s="60">
        <v>92</v>
      </c>
      <c r="DM174" s="60">
        <f t="shared" si="70"/>
        <v>583.19444444444446</v>
      </c>
      <c r="DN174" s="60" t="e">
        <f t="shared" si="71"/>
        <v>#VALUE!</v>
      </c>
      <c r="DO174" s="60" t="e">
        <f t="shared" si="72"/>
        <v>#VALUE!</v>
      </c>
      <c r="DP174" s="51">
        <v>91</v>
      </c>
    </row>
    <row r="175" spans="86:120">
      <c r="CH175" s="33">
        <v>93</v>
      </c>
      <c r="CI175" s="33">
        <f t="shared" si="55"/>
        <v>285.45833333333337</v>
      </c>
      <c r="CJ175" s="33">
        <f t="shared" si="56"/>
        <v>18.963416015910532</v>
      </c>
      <c r="CK175" s="33">
        <f t="shared" si="57"/>
        <v>0</v>
      </c>
      <c r="CL175" s="29">
        <v>92</v>
      </c>
      <c r="CN175" s="33">
        <v>93</v>
      </c>
      <c r="CO175" s="33">
        <f t="shared" si="58"/>
        <v>297.73611111111114</v>
      </c>
      <c r="CP175" s="33">
        <f t="shared" si="59"/>
        <v>48.041821662779796</v>
      </c>
      <c r="CQ175" s="33">
        <f t="shared" si="60"/>
        <v>0</v>
      </c>
      <c r="CR175" s="29">
        <v>92</v>
      </c>
      <c r="CT175" s="33">
        <v>93</v>
      </c>
      <c r="CU175" s="33">
        <f t="shared" si="61"/>
        <v>325.36111111111114</v>
      </c>
      <c r="CV175" s="33">
        <f t="shared" si="62"/>
        <v>93.917279045919742</v>
      </c>
      <c r="CW175" s="33">
        <f t="shared" si="63"/>
        <v>0</v>
      </c>
      <c r="CX175" s="29">
        <v>92</v>
      </c>
      <c r="CZ175" s="33">
        <v>93</v>
      </c>
      <c r="DA175" s="33">
        <f t="shared" si="64"/>
        <v>365.26388888888891</v>
      </c>
      <c r="DB175" s="33">
        <f t="shared" si="65"/>
        <v>186.29896294481523</v>
      </c>
      <c r="DC175" s="33">
        <f t="shared" si="66"/>
        <v>0</v>
      </c>
      <c r="DD175" s="29">
        <v>92</v>
      </c>
      <c r="DF175" s="60">
        <v>93</v>
      </c>
      <c r="DG175" s="60">
        <f t="shared" si="67"/>
        <v>457.34722222222223</v>
      </c>
      <c r="DH175" s="60">
        <f t="shared" si="68"/>
        <v>318.95186201702484</v>
      </c>
      <c r="DI175" s="60">
        <f t="shared" si="69"/>
        <v>0</v>
      </c>
      <c r="DJ175" s="51">
        <v>92</v>
      </c>
      <c r="DL175" s="60">
        <v>93</v>
      </c>
      <c r="DM175" s="60">
        <f t="shared" si="70"/>
        <v>586.26388888888891</v>
      </c>
      <c r="DN175" s="60" t="e">
        <f t="shared" si="71"/>
        <v>#VALUE!</v>
      </c>
      <c r="DO175" s="60" t="e">
        <f t="shared" si="72"/>
        <v>#VALUE!</v>
      </c>
      <c r="DP175" s="51">
        <v>92</v>
      </c>
    </row>
    <row r="176" spans="86:120">
      <c r="CH176" s="33">
        <v>94</v>
      </c>
      <c r="CI176" s="33">
        <f t="shared" si="55"/>
        <v>288.52777777777777</v>
      </c>
      <c r="CJ176" s="33">
        <f t="shared" si="56"/>
        <v>19.014371895248527</v>
      </c>
      <c r="CK176" s="33">
        <f t="shared" si="57"/>
        <v>0</v>
      </c>
      <c r="CL176" s="29">
        <v>93</v>
      </c>
      <c r="CN176" s="33">
        <v>94</v>
      </c>
      <c r="CO176" s="33">
        <f t="shared" si="58"/>
        <v>300.8055555555556</v>
      </c>
      <c r="CP176" s="33">
        <f t="shared" si="59"/>
        <v>48.13478626801593</v>
      </c>
      <c r="CQ176" s="33">
        <f t="shared" si="60"/>
        <v>0</v>
      </c>
      <c r="CR176" s="29">
        <v>93</v>
      </c>
      <c r="CT176" s="33">
        <v>94</v>
      </c>
      <c r="CU176" s="33">
        <f t="shared" si="61"/>
        <v>328.4305555555556</v>
      </c>
      <c r="CV176" s="33">
        <f t="shared" si="62"/>
        <v>94.05927735342452</v>
      </c>
      <c r="CW176" s="33">
        <f t="shared" si="63"/>
        <v>0</v>
      </c>
      <c r="CX176" s="29">
        <v>93</v>
      </c>
      <c r="CZ176" s="33">
        <v>94</v>
      </c>
      <c r="DA176" s="33">
        <f t="shared" si="64"/>
        <v>368.33333333333337</v>
      </c>
      <c r="DB176" s="33">
        <f t="shared" si="65"/>
        <v>186.51734045094472</v>
      </c>
      <c r="DC176" s="33">
        <f t="shared" si="66"/>
        <v>0</v>
      </c>
      <c r="DD176" s="29">
        <v>93</v>
      </c>
      <c r="DF176" s="60">
        <v>94</v>
      </c>
      <c r="DG176" s="60">
        <f t="shared" si="67"/>
        <v>460.41666666666669</v>
      </c>
      <c r="DH176" s="60">
        <f t="shared" si="68"/>
        <v>319.25615420339545</v>
      </c>
      <c r="DI176" s="60">
        <f t="shared" si="69"/>
        <v>0</v>
      </c>
      <c r="DJ176" s="51">
        <v>93</v>
      </c>
      <c r="DL176" s="60">
        <v>94</v>
      </c>
      <c r="DM176" s="60">
        <f t="shared" si="70"/>
        <v>589.33333333333337</v>
      </c>
      <c r="DN176" s="60" t="e">
        <f t="shared" si="71"/>
        <v>#VALUE!</v>
      </c>
      <c r="DO176" s="60" t="e">
        <f t="shared" si="72"/>
        <v>#VALUE!</v>
      </c>
      <c r="DP176" s="51">
        <v>93</v>
      </c>
    </row>
    <row r="177" spans="86:120">
      <c r="CH177" s="33">
        <v>95</v>
      </c>
      <c r="CI177" s="33">
        <f t="shared" si="55"/>
        <v>291.59722222222223</v>
      </c>
      <c r="CJ177" s="33">
        <f t="shared" si="56"/>
        <v>19.065327774586521</v>
      </c>
      <c r="CK177" s="33">
        <f t="shared" si="57"/>
        <v>0</v>
      </c>
      <c r="CL177" s="29">
        <v>94</v>
      </c>
      <c r="CN177" s="33">
        <v>95</v>
      </c>
      <c r="CO177" s="33">
        <f t="shared" si="58"/>
        <v>303.875</v>
      </c>
      <c r="CP177" s="33">
        <f t="shared" si="59"/>
        <v>48.22775087325207</v>
      </c>
      <c r="CQ177" s="33">
        <f t="shared" si="60"/>
        <v>0</v>
      </c>
      <c r="CR177" s="29">
        <v>94</v>
      </c>
      <c r="CT177" s="33">
        <v>95</v>
      </c>
      <c r="CU177" s="33">
        <f t="shared" si="61"/>
        <v>331.5</v>
      </c>
      <c r="CV177" s="33">
        <f t="shared" si="62"/>
        <v>94.201275660929284</v>
      </c>
      <c r="CW177" s="33">
        <f t="shared" si="63"/>
        <v>0</v>
      </c>
      <c r="CX177" s="29">
        <v>94</v>
      </c>
      <c r="CZ177" s="33">
        <v>95</v>
      </c>
      <c r="DA177" s="33">
        <f t="shared" si="64"/>
        <v>371.40277777777783</v>
      </c>
      <c r="DB177" s="33">
        <f t="shared" si="65"/>
        <v>186.73571795707417</v>
      </c>
      <c r="DC177" s="33">
        <f t="shared" si="66"/>
        <v>0</v>
      </c>
      <c r="DD177" s="29">
        <v>94</v>
      </c>
      <c r="DF177" s="60">
        <v>95</v>
      </c>
      <c r="DG177" s="60">
        <f t="shared" si="67"/>
        <v>463.48611111111114</v>
      </c>
      <c r="DH177" s="60">
        <f t="shared" si="68"/>
        <v>319.56044638976613</v>
      </c>
      <c r="DI177" s="60">
        <f t="shared" si="69"/>
        <v>0</v>
      </c>
      <c r="DJ177" s="51">
        <v>94</v>
      </c>
      <c r="DL177" s="60">
        <v>95</v>
      </c>
      <c r="DM177" s="60">
        <f t="shared" si="70"/>
        <v>592.40277777777783</v>
      </c>
      <c r="DN177" s="60" t="e">
        <f t="shared" si="71"/>
        <v>#VALUE!</v>
      </c>
      <c r="DO177" s="60" t="e">
        <f t="shared" si="72"/>
        <v>#VALUE!</v>
      </c>
      <c r="DP177" s="51">
        <v>94</v>
      </c>
    </row>
    <row r="178" spans="86:120">
      <c r="CH178" s="33">
        <v>96</v>
      </c>
      <c r="CI178" s="33">
        <f t="shared" si="55"/>
        <v>294.66666666666669</v>
      </c>
      <c r="CJ178" s="33">
        <f t="shared" si="56"/>
        <v>19.116283653924508</v>
      </c>
      <c r="CK178" s="33">
        <f t="shared" si="57"/>
        <v>0</v>
      </c>
      <c r="CL178" s="29">
        <v>95</v>
      </c>
      <c r="CN178" s="33">
        <v>96</v>
      </c>
      <c r="CO178" s="33">
        <f t="shared" si="58"/>
        <v>306.94444444444446</v>
      </c>
      <c r="CP178" s="33">
        <f t="shared" si="59"/>
        <v>48.320715478488204</v>
      </c>
      <c r="CQ178" s="33">
        <f t="shared" si="60"/>
        <v>0</v>
      </c>
      <c r="CR178" s="29">
        <v>95</v>
      </c>
      <c r="CT178" s="33">
        <v>96</v>
      </c>
      <c r="CU178" s="33">
        <f t="shared" si="61"/>
        <v>334.56944444444446</v>
      </c>
      <c r="CV178" s="33">
        <f t="shared" si="62"/>
        <v>94.343273968434048</v>
      </c>
      <c r="CW178" s="33">
        <f t="shared" si="63"/>
        <v>0</v>
      </c>
      <c r="CX178" s="29">
        <v>95</v>
      </c>
      <c r="CZ178" s="33">
        <v>96</v>
      </c>
      <c r="DA178" s="33">
        <f t="shared" si="64"/>
        <v>374.47222222222223</v>
      </c>
      <c r="DB178" s="33">
        <f t="shared" si="65"/>
        <v>186.9540954632036</v>
      </c>
      <c r="DC178" s="33">
        <f t="shared" si="66"/>
        <v>0</v>
      </c>
      <c r="DD178" s="29">
        <v>95</v>
      </c>
      <c r="DF178" s="60">
        <v>96</v>
      </c>
      <c r="DG178" s="60">
        <f t="shared" si="67"/>
        <v>466.5555555555556</v>
      </c>
      <c r="DH178" s="60">
        <f t="shared" si="68"/>
        <v>319.86473857613674</v>
      </c>
      <c r="DI178" s="60">
        <f t="shared" si="69"/>
        <v>0</v>
      </c>
      <c r="DJ178" s="51">
        <v>95</v>
      </c>
      <c r="DL178" s="60">
        <v>96</v>
      </c>
      <c r="DM178" s="60">
        <f t="shared" si="70"/>
        <v>595.47222222222229</v>
      </c>
      <c r="DN178" s="60" t="e">
        <f t="shared" si="71"/>
        <v>#VALUE!</v>
      </c>
      <c r="DO178" s="60" t="e">
        <f t="shared" si="72"/>
        <v>#VALUE!</v>
      </c>
      <c r="DP178" s="51">
        <v>95</v>
      </c>
    </row>
    <row r="179" spans="86:120">
      <c r="CH179" s="33">
        <v>97</v>
      </c>
      <c r="CI179" s="33">
        <f t="shared" si="55"/>
        <v>297.73611111111114</v>
      </c>
      <c r="CJ179" s="33">
        <f t="shared" si="56"/>
        <v>19.167239533262503</v>
      </c>
      <c r="CK179" s="33">
        <f t="shared" si="57"/>
        <v>0</v>
      </c>
      <c r="CL179" s="29">
        <v>96</v>
      </c>
      <c r="CN179" s="33">
        <v>97</v>
      </c>
      <c r="CO179" s="33">
        <f t="shared" si="58"/>
        <v>310.01388888888891</v>
      </c>
      <c r="CP179" s="33">
        <f t="shared" si="59"/>
        <v>48.413680083724337</v>
      </c>
      <c r="CQ179" s="33">
        <f t="shared" si="60"/>
        <v>0</v>
      </c>
      <c r="CR179" s="29">
        <v>96</v>
      </c>
      <c r="CT179" s="33">
        <v>97</v>
      </c>
      <c r="CU179" s="33">
        <f t="shared" si="61"/>
        <v>337.63888888888891</v>
      </c>
      <c r="CV179" s="33">
        <f t="shared" si="62"/>
        <v>94.485272275938826</v>
      </c>
      <c r="CW179" s="33">
        <f t="shared" si="63"/>
        <v>0</v>
      </c>
      <c r="CX179" s="29">
        <v>96</v>
      </c>
      <c r="CZ179" s="33">
        <v>97</v>
      </c>
      <c r="DA179" s="33">
        <f t="shared" si="64"/>
        <v>377.54166666666669</v>
      </c>
      <c r="DB179" s="33">
        <f t="shared" si="65"/>
        <v>187.17247296933303</v>
      </c>
      <c r="DC179" s="33">
        <f t="shared" si="66"/>
        <v>0</v>
      </c>
      <c r="DD179" s="29">
        <v>96</v>
      </c>
      <c r="DF179" s="60">
        <v>97</v>
      </c>
      <c r="DG179" s="60">
        <f t="shared" si="67"/>
        <v>469.62500000000006</v>
      </c>
      <c r="DH179" s="60">
        <f t="shared" si="68"/>
        <v>320.16903076250742</v>
      </c>
      <c r="DI179" s="60">
        <f t="shared" si="69"/>
        <v>0</v>
      </c>
      <c r="DJ179" s="51">
        <v>96</v>
      </c>
      <c r="DL179" s="60">
        <v>97</v>
      </c>
      <c r="DM179" s="60">
        <f t="shared" si="70"/>
        <v>598.54166666666674</v>
      </c>
      <c r="DN179" s="60" t="e">
        <f t="shared" si="71"/>
        <v>#VALUE!</v>
      </c>
      <c r="DO179" s="60" t="e">
        <f t="shared" si="72"/>
        <v>#VALUE!</v>
      </c>
      <c r="DP179" s="51">
        <v>96</v>
      </c>
    </row>
    <row r="180" spans="86:120">
      <c r="CH180" s="33">
        <v>98</v>
      </c>
      <c r="CI180" s="33">
        <f t="shared" si="55"/>
        <v>300.8055555555556</v>
      </c>
      <c r="CJ180" s="33">
        <f t="shared" si="56"/>
        <v>19.218195412600497</v>
      </c>
      <c r="CK180" s="33">
        <f t="shared" si="57"/>
        <v>0</v>
      </c>
      <c r="CL180" s="29">
        <v>97</v>
      </c>
      <c r="CN180" s="33">
        <v>98</v>
      </c>
      <c r="CO180" s="33">
        <f t="shared" si="58"/>
        <v>313.08333333333337</v>
      </c>
      <c r="CP180" s="33">
        <f t="shared" si="59"/>
        <v>48.506644688960463</v>
      </c>
      <c r="CQ180" s="33">
        <f t="shared" si="60"/>
        <v>0</v>
      </c>
      <c r="CR180" s="29">
        <v>97</v>
      </c>
      <c r="CT180" s="33">
        <v>98</v>
      </c>
      <c r="CU180" s="33">
        <f t="shared" si="61"/>
        <v>340.70833333333337</v>
      </c>
      <c r="CV180" s="33">
        <f t="shared" si="62"/>
        <v>94.62727058344359</v>
      </c>
      <c r="CW180" s="33">
        <f t="shared" si="63"/>
        <v>0</v>
      </c>
      <c r="CX180" s="29">
        <v>97</v>
      </c>
      <c r="CZ180" s="33">
        <v>98</v>
      </c>
      <c r="DA180" s="33">
        <f t="shared" si="64"/>
        <v>380.61111111111114</v>
      </c>
      <c r="DB180" s="33">
        <f t="shared" si="65"/>
        <v>187.39085047546251</v>
      </c>
      <c r="DC180" s="33">
        <f t="shared" si="66"/>
        <v>0</v>
      </c>
      <c r="DD180" s="29">
        <v>97</v>
      </c>
      <c r="DF180" s="60">
        <v>98</v>
      </c>
      <c r="DG180" s="60">
        <f t="shared" si="67"/>
        <v>472.69444444444446</v>
      </c>
      <c r="DH180" s="60">
        <f t="shared" si="68"/>
        <v>320.47332294887804</v>
      </c>
      <c r="DI180" s="60">
        <f t="shared" si="69"/>
        <v>0</v>
      </c>
      <c r="DJ180" s="51">
        <v>97</v>
      </c>
      <c r="DL180" s="60">
        <v>98</v>
      </c>
      <c r="DM180" s="60">
        <f t="shared" si="70"/>
        <v>601.6111111111112</v>
      </c>
      <c r="DN180" s="60" t="e">
        <f t="shared" si="71"/>
        <v>#VALUE!</v>
      </c>
      <c r="DO180" s="60" t="e">
        <f t="shared" si="72"/>
        <v>#VALUE!</v>
      </c>
      <c r="DP180" s="51">
        <v>97</v>
      </c>
    </row>
    <row r="181" spans="86:120">
      <c r="CH181" s="33">
        <v>99</v>
      </c>
      <c r="CI181" s="33">
        <f t="shared" si="55"/>
        <v>303.875</v>
      </c>
      <c r="CJ181" s="33">
        <f t="shared" si="56"/>
        <v>19.269151291938485</v>
      </c>
      <c r="CK181" s="33">
        <f t="shared" si="57"/>
        <v>0</v>
      </c>
      <c r="CL181" s="29">
        <v>98</v>
      </c>
      <c r="CN181" s="33">
        <v>99</v>
      </c>
      <c r="CO181" s="33">
        <f t="shared" si="58"/>
        <v>316.15277777777777</v>
      </c>
      <c r="CP181" s="33">
        <f t="shared" si="59"/>
        <v>48.599609294196597</v>
      </c>
      <c r="CQ181" s="33">
        <f t="shared" si="60"/>
        <v>0</v>
      </c>
      <c r="CR181" s="29">
        <v>98</v>
      </c>
      <c r="CT181" s="33">
        <v>99</v>
      </c>
      <c r="CU181" s="33">
        <f t="shared" si="61"/>
        <v>343.77777777777783</v>
      </c>
      <c r="CV181" s="33">
        <f t="shared" si="62"/>
        <v>94.769268890948354</v>
      </c>
      <c r="CW181" s="33">
        <f t="shared" si="63"/>
        <v>0</v>
      </c>
      <c r="CX181" s="29">
        <v>98</v>
      </c>
      <c r="CZ181" s="33">
        <v>99</v>
      </c>
      <c r="DA181" s="33">
        <f t="shared" si="64"/>
        <v>383.6805555555556</v>
      </c>
      <c r="DB181" s="33">
        <f t="shared" si="65"/>
        <v>187.60922798159197</v>
      </c>
      <c r="DC181" s="33">
        <f t="shared" si="66"/>
        <v>0</v>
      </c>
      <c r="DD181" s="29">
        <v>98</v>
      </c>
      <c r="DF181" s="60">
        <v>99</v>
      </c>
      <c r="DG181" s="60">
        <f t="shared" si="67"/>
        <v>475.76388888888891</v>
      </c>
      <c r="DH181" s="60">
        <f t="shared" si="68"/>
        <v>320.77761513524871</v>
      </c>
      <c r="DI181" s="60">
        <f t="shared" si="69"/>
        <v>0</v>
      </c>
      <c r="DJ181" s="51">
        <v>98</v>
      </c>
      <c r="DL181" s="60">
        <v>99</v>
      </c>
      <c r="DM181" s="60">
        <f t="shared" si="70"/>
        <v>604.68055555555554</v>
      </c>
      <c r="DN181" s="60" t="e">
        <f t="shared" si="71"/>
        <v>#VALUE!</v>
      </c>
      <c r="DO181" s="60" t="e">
        <f t="shared" si="72"/>
        <v>#VALUE!</v>
      </c>
      <c r="DP181" s="51">
        <v>98</v>
      </c>
    </row>
    <row r="182" spans="86:120">
      <c r="CH182" s="33">
        <v>100</v>
      </c>
      <c r="CI182" s="33">
        <f t="shared" si="55"/>
        <v>306.94444444444446</v>
      </c>
      <c r="CJ182" s="33">
        <f t="shared" si="56"/>
        <v>19.320107171276479</v>
      </c>
      <c r="CK182" s="33">
        <f t="shared" si="57"/>
        <v>0</v>
      </c>
      <c r="CL182" s="29">
        <v>99</v>
      </c>
      <c r="CN182" s="33">
        <v>100</v>
      </c>
      <c r="CO182" s="33">
        <f t="shared" si="58"/>
        <v>319.22222222222223</v>
      </c>
      <c r="CP182" s="33">
        <f t="shared" si="59"/>
        <v>48.692573899432738</v>
      </c>
      <c r="CQ182" s="33">
        <f t="shared" si="60"/>
        <v>0</v>
      </c>
      <c r="CR182" s="29">
        <v>99</v>
      </c>
      <c r="CT182" s="33">
        <v>100</v>
      </c>
      <c r="CU182" s="33">
        <f t="shared" si="61"/>
        <v>346.84722222222223</v>
      </c>
      <c r="CV182" s="33">
        <f t="shared" si="62"/>
        <v>94.911267198453132</v>
      </c>
      <c r="CW182" s="33">
        <f t="shared" si="63"/>
        <v>0</v>
      </c>
      <c r="CX182" s="29">
        <v>99</v>
      </c>
      <c r="CZ182" s="33">
        <v>100</v>
      </c>
      <c r="DA182" s="33">
        <f t="shared" si="64"/>
        <v>386.75</v>
      </c>
      <c r="DB182" s="33">
        <f t="shared" si="65"/>
        <v>187.82760548772143</v>
      </c>
      <c r="DC182" s="33">
        <f t="shared" si="66"/>
        <v>0</v>
      </c>
      <c r="DD182" s="29">
        <v>99</v>
      </c>
      <c r="DF182" s="60">
        <v>100</v>
      </c>
      <c r="DG182" s="60">
        <f t="shared" si="67"/>
        <v>478.83333333333337</v>
      </c>
      <c r="DH182" s="60">
        <f t="shared" si="68"/>
        <v>321.08190732161933</v>
      </c>
      <c r="DI182" s="60">
        <f t="shared" si="69"/>
        <v>0</v>
      </c>
      <c r="DJ182" s="51">
        <v>99</v>
      </c>
      <c r="DL182" s="60">
        <v>100</v>
      </c>
      <c r="DM182" s="60">
        <f t="shared" si="70"/>
        <v>607.75</v>
      </c>
      <c r="DN182" s="60" t="e">
        <f t="shared" si="71"/>
        <v>#VALUE!</v>
      </c>
      <c r="DO182" s="60" t="e">
        <f t="shared" si="72"/>
        <v>#VALUE!</v>
      </c>
      <c r="DP182" s="51">
        <v>99</v>
      </c>
    </row>
  </sheetData>
  <sheetProtection password="E71C" sheet="1" objects="1" scenarios="1" selectLockedCells="1"/>
  <mergeCells count="121">
    <mergeCell ref="AB10:AD10"/>
    <mergeCell ref="Y10:AA10"/>
    <mergeCell ref="H10:X10"/>
    <mergeCell ref="H75:P75"/>
    <mergeCell ref="Q75:R75"/>
    <mergeCell ref="T75:V75"/>
    <mergeCell ref="W75:Y75"/>
    <mergeCell ref="H76:P76"/>
    <mergeCell ref="Q76:R76"/>
    <mergeCell ref="T76:V76"/>
    <mergeCell ref="W76:Y76"/>
    <mergeCell ref="H73:P73"/>
    <mergeCell ref="Q73:R73"/>
    <mergeCell ref="T73:V73"/>
    <mergeCell ref="W73:Y73"/>
    <mergeCell ref="H74:P74"/>
    <mergeCell ref="Q74:R74"/>
    <mergeCell ref="T74:V74"/>
    <mergeCell ref="W74:Y74"/>
    <mergeCell ref="H71:P71"/>
    <mergeCell ref="Q71:R71"/>
    <mergeCell ref="T71:V71"/>
    <mergeCell ref="W71:Y71"/>
    <mergeCell ref="H72:P72"/>
    <mergeCell ref="Q72:R72"/>
    <mergeCell ref="T72:V72"/>
    <mergeCell ref="W72:Y72"/>
    <mergeCell ref="W68:Y68"/>
    <mergeCell ref="Z68:AA68"/>
    <mergeCell ref="H69:V69"/>
    <mergeCell ref="W69:Y69"/>
    <mergeCell ref="Z69:AA69"/>
    <mergeCell ref="AF69:AJ69"/>
    <mergeCell ref="H64:Q64"/>
    <mergeCell ref="H65:L65"/>
    <mergeCell ref="M65:Q65"/>
    <mergeCell ref="H66:L66"/>
    <mergeCell ref="M66:Q66"/>
    <mergeCell ref="H68:V68"/>
    <mergeCell ref="AG61:AH61"/>
    <mergeCell ref="AI61:AJ61"/>
    <mergeCell ref="H62:O62"/>
    <mergeCell ref="P62:Q62"/>
    <mergeCell ref="R62:S62"/>
    <mergeCell ref="AF62:AH62"/>
    <mergeCell ref="AI62:AJ62"/>
    <mergeCell ref="H58:S58"/>
    <mergeCell ref="U58:AE58"/>
    <mergeCell ref="H60:S60"/>
    <mergeCell ref="H61:O61"/>
    <mergeCell ref="P61:Q61"/>
    <mergeCell ref="R61:S61"/>
    <mergeCell ref="M54:AE54"/>
    <mergeCell ref="AF54:AJ54"/>
    <mergeCell ref="G55:AE55"/>
    <mergeCell ref="AF55:AJ55"/>
    <mergeCell ref="G56:L56"/>
    <mergeCell ref="M56:S56"/>
    <mergeCell ref="T56:Y56"/>
    <mergeCell ref="Z56:AE56"/>
    <mergeCell ref="AF56:AJ56"/>
    <mergeCell ref="Z30:AA30"/>
    <mergeCell ref="H31:V31"/>
    <mergeCell ref="W31:Y31"/>
    <mergeCell ref="Z31:AA31"/>
    <mergeCell ref="AF31:AJ31"/>
    <mergeCell ref="B53:F56"/>
    <mergeCell ref="G53:L53"/>
    <mergeCell ref="M53:AE53"/>
    <mergeCell ref="AF53:AJ53"/>
    <mergeCell ref="G54:L54"/>
    <mergeCell ref="H22:O22"/>
    <mergeCell ref="P22:R22"/>
    <mergeCell ref="S22:T22"/>
    <mergeCell ref="H29:T29"/>
    <mergeCell ref="H30:V30"/>
    <mergeCell ref="W30:Y30"/>
    <mergeCell ref="H18:T18"/>
    <mergeCell ref="H19:O19"/>
    <mergeCell ref="P19:T19"/>
    <mergeCell ref="H20:O20"/>
    <mergeCell ref="P20:T20"/>
    <mergeCell ref="H21:O21"/>
    <mergeCell ref="P21:R21"/>
    <mergeCell ref="S21:T21"/>
    <mergeCell ref="H15:O15"/>
    <mergeCell ref="P15:R15"/>
    <mergeCell ref="S15:T15"/>
    <mergeCell ref="AF15:AH15"/>
    <mergeCell ref="AI15:AJ15"/>
    <mergeCell ref="H16:O16"/>
    <mergeCell ref="P16:R16"/>
    <mergeCell ref="S16:T16"/>
    <mergeCell ref="Z5:AE5"/>
    <mergeCell ref="AF5:AJ5"/>
    <mergeCell ref="H13:T13"/>
    <mergeCell ref="V13:AE13"/>
    <mergeCell ref="H14:O14"/>
    <mergeCell ref="P14:R14"/>
    <mergeCell ref="S14:T14"/>
    <mergeCell ref="AG14:AH14"/>
    <mergeCell ref="AI14:AJ14"/>
    <mergeCell ref="AF2:AJ2"/>
    <mergeCell ref="G3:L3"/>
    <mergeCell ref="M3:AE3"/>
    <mergeCell ref="AF3:AJ3"/>
    <mergeCell ref="G4:AE4"/>
    <mergeCell ref="AF4:AJ4"/>
    <mergeCell ref="B2:F5"/>
    <mergeCell ref="G2:L2"/>
    <mergeCell ref="M2:AE2"/>
    <mergeCell ref="G5:L5"/>
    <mergeCell ref="M5:S5"/>
    <mergeCell ref="T5:Y5"/>
    <mergeCell ref="H9:X9"/>
    <mergeCell ref="Y9:AA9"/>
    <mergeCell ref="AB9:AD9"/>
    <mergeCell ref="H7:AD7"/>
    <mergeCell ref="H8:X8"/>
    <mergeCell ref="Y8:AA8"/>
    <mergeCell ref="AB8:AD8"/>
  </mergeCells>
  <conditionalFormatting sqref="CI80">
    <cfRule type="expression" dxfId="25" priority="11" stopIfTrue="1">
      <formula>$D28&gt;$D27*1.2</formula>
    </cfRule>
    <cfRule type="expression" dxfId="24" priority="12">
      <formula>$D28&gt;$D27</formula>
    </cfRule>
    <cfRule type="expression" dxfId="23" priority="13">
      <formula>$D28&lt;$D27</formula>
    </cfRule>
  </conditionalFormatting>
  <conditionalFormatting sqref="CI62">
    <cfRule type="expression" dxfId="22" priority="17" stopIfTrue="1">
      <formula>$D10&gt;$D9*1.2</formula>
    </cfRule>
    <cfRule type="expression" dxfId="21" priority="18">
      <formula>$D10&gt;$D9</formula>
    </cfRule>
    <cfRule type="expression" dxfId="20" priority="19">
      <formula>$D10&lt;$D9</formula>
    </cfRule>
  </conditionalFormatting>
  <conditionalFormatting sqref="CI71">
    <cfRule type="expression" dxfId="19" priority="14" stopIfTrue="1">
      <formula>$D19&gt;$D18*1.2</formula>
    </cfRule>
    <cfRule type="expression" dxfId="18" priority="15">
      <formula>$D19&gt;$D18</formula>
    </cfRule>
    <cfRule type="expression" dxfId="17" priority="16">
      <formula>$D19&lt;$D18</formula>
    </cfRule>
  </conditionalFormatting>
  <conditionalFormatting sqref="AF31:AJ31">
    <cfRule type="expression" dxfId="16" priority="10">
      <formula>$AF$31="Acceptable"</formula>
    </cfRule>
  </conditionalFormatting>
  <conditionalFormatting sqref="P20:T20 M66">
    <cfRule type="expression" dxfId="15" priority="9">
      <formula>$P$19="Custom"</formula>
    </cfRule>
  </conditionalFormatting>
  <conditionalFormatting sqref="P21:R22">
    <cfRule type="expression" dxfId="14" priority="8">
      <formula>$P$19="Custom"</formula>
    </cfRule>
  </conditionalFormatting>
  <conditionalFormatting sqref="S21:T22">
    <cfRule type="expression" dxfId="13" priority="7">
      <formula>$P$19="Custom"</formula>
    </cfRule>
  </conditionalFormatting>
  <conditionalFormatting sqref="AF69:AJ69">
    <cfRule type="expression" dxfId="12" priority="6">
      <formula>$AF$69="Acceptable"</formula>
    </cfRule>
  </conditionalFormatting>
  <conditionalFormatting sqref="H76:Y76">
    <cfRule type="expression" dxfId="11" priority="5">
      <formula>$CJ$73="N/A"</formula>
    </cfRule>
  </conditionalFormatting>
  <conditionalFormatting sqref="H75:Y75">
    <cfRule type="expression" dxfId="10" priority="4">
      <formula>$CJ$64="N/A"</formula>
    </cfRule>
  </conditionalFormatting>
  <conditionalFormatting sqref="H74:Y74">
    <cfRule type="expression" dxfId="9" priority="3">
      <formula>$CJ$55="N/A"</formula>
    </cfRule>
  </conditionalFormatting>
  <conditionalFormatting sqref="H73:Y73">
    <cfRule type="expression" dxfId="8" priority="2">
      <formula>$CJ$46="N/A"</formula>
    </cfRule>
  </conditionalFormatting>
  <conditionalFormatting sqref="H72:Y72">
    <cfRule type="expression" dxfId="7" priority="1">
      <formula>$CJ$37="N/A"</formula>
    </cfRule>
  </conditionalFormatting>
  <conditionalFormatting sqref="CI18">
    <cfRule type="expression" dxfId="6" priority="36">
      <formula>#REF!&gt;#REF!</formula>
    </cfRule>
    <cfRule type="expression" dxfId="5" priority="37">
      <formula>#REF!&lt;#REF!</formula>
    </cfRule>
  </conditionalFormatting>
  <conditionalFormatting sqref="CI25">
    <cfRule type="expression" dxfId="4" priority="38">
      <formula>#REF!&gt;#REF!</formula>
    </cfRule>
    <cfRule type="expression" dxfId="3" priority="39">
      <formula>#REF!&lt;#REF!</formula>
    </cfRule>
  </conditionalFormatting>
  <conditionalFormatting sqref="CI35 CI44 CI53">
    <cfRule type="expression" dxfId="2" priority="40" stopIfTrue="1">
      <formula>#REF!&gt;#REF!*1.2</formula>
    </cfRule>
    <cfRule type="expression" dxfId="1" priority="41">
      <formula>#REF!&gt;#REF!</formula>
    </cfRule>
    <cfRule type="expression" dxfId="0" priority="42">
      <formula>#REF!&lt;#REF!</formula>
    </cfRule>
  </conditionalFormatting>
  <dataValidations count="12">
    <dataValidation type="list" allowBlank="1" showInputMessage="1" showErrorMessage="1" sqref="P20:T20">
      <formula1>INDIRECT($P$19)</formula1>
    </dataValidation>
    <dataValidation type="list" allowBlank="1" showInputMessage="1" showErrorMessage="1" sqref="CJ9 M65:Q65">
      <formula1>Type</formula1>
    </dataValidation>
    <dataValidation type="list" allowBlank="1" showInputMessage="1" showErrorMessage="1" sqref="M66">
      <formula1>INDIRECT($M$65)</formula1>
    </dataValidation>
    <dataValidation type="list" allowBlank="1" showInputMessage="1" showErrorMessage="1" sqref="P19:T19">
      <formula1>$CQ$5:$CY$5</formula1>
    </dataValidation>
    <dataValidation type="whole" errorStyle="warning" allowBlank="1" showInputMessage="1" showErrorMessage="1" errorTitle="Channel Length" error="Exceeds Total Channel Length" sqref="CJ40">
      <formula1>-1</formula1>
      <formula2>CJ6-CJ32</formula2>
    </dataValidation>
    <dataValidation type="whole" errorStyle="warning" allowBlank="1" showInputMessage="1" showErrorMessage="1" errorTitle="Channel Length" error="Exceeds Total Channel Length" sqref="CJ49">
      <formula1>-1</formula1>
      <formula2>CJ$6-CJ$32-CJ$40</formula2>
    </dataValidation>
    <dataValidation type="whole" errorStyle="warning" allowBlank="1" showInputMessage="1" showErrorMessage="1" errorTitle="Channel Length" error="Exceeds Total Channel Length" sqref="CJ58">
      <formula1>-1</formula1>
      <formula2>CJ$6-CJ$32-CJ$40-CJ$49</formula2>
    </dataValidation>
    <dataValidation type="whole" errorStyle="warning" allowBlank="1" showInputMessage="1" showErrorMessage="1" errorTitle="Channel Length" error="Exceeds Total Channel Length" sqref="CJ67">
      <formula1>-1</formula1>
      <formula2>CJ$6-CJ$32-CJ$40-CJ$49-CJ$58</formula2>
    </dataValidation>
    <dataValidation type="whole" errorStyle="warning" allowBlank="1" showInputMessage="1" showErrorMessage="1" errorTitle="Channel Length" error="Exceeds Total Channel Length" sqref="CJ76">
      <formula1>-1</formula1>
      <formula2>CJ$6-CJ$32-CJ$40-CJ$49-CJ$58-CJ$67</formula2>
    </dataValidation>
    <dataValidation type="whole" errorStyle="warning" allowBlank="1" showInputMessage="1" showErrorMessage="1" errorTitle="Channel Length" error="Exceeds Total Channel Length" sqref="CJ32">
      <formula1>-1</formula1>
      <formula2>CJ6</formula2>
    </dataValidation>
    <dataValidation type="whole" allowBlank="1" showInputMessage="1" sqref="CJ46">
      <formula1>-1</formula1>
      <formula2>CJ10</formula2>
    </dataValidation>
    <dataValidation type="list" showInputMessage="1" showErrorMessage="1" sqref="CJ10">
      <formula1>INDIRECT(#REF!)</formula1>
    </dataValidation>
  </dataValidations>
  <pageMargins left="0.7" right="0.7" top="0.75" bottom="0.75" header="0.3" footer="0.3"/>
  <pageSetup paperSize="9" scale="97" orientation="portrait" r:id="rId1"/>
  <rowBreaks count="2" manualBreakCount="2">
    <brk id="52" max="16383" man="1"/>
    <brk id="103" max="16383" man="1"/>
  </rowBreaks>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6</xdr:col>
                <xdr:colOff>142875</xdr:colOff>
                <xdr:row>22</xdr:row>
                <xdr:rowOff>180975</xdr:rowOff>
              </from>
              <to>
                <xdr:col>30</xdr:col>
                <xdr:colOff>47625</xdr:colOff>
                <xdr:row>27</xdr:row>
                <xdr:rowOff>9525</xdr:rowOff>
              </to>
            </anchor>
          </objectPr>
        </oleObject>
      </mc:Choice>
      <mc:Fallback>
        <oleObject progId="Equation.3"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vt:i4>
      </vt:variant>
    </vt:vector>
  </HeadingPairs>
  <TitlesOfParts>
    <vt:vector size="39" baseType="lpstr">
      <vt:lpstr>Cover</vt:lpstr>
      <vt:lpstr>Linear Drainage - UK Catchment</vt:lpstr>
      <vt:lpstr>Linear Drainage - Known Inflow</vt:lpstr>
      <vt:lpstr>'Linear Drainage - Known Inflow'!abc</vt:lpstr>
      <vt:lpstr>abc</vt:lpstr>
      <vt:lpstr>'Linear Drainage - Known Inflow'!Channel100</vt:lpstr>
      <vt:lpstr>Channel100</vt:lpstr>
      <vt:lpstr>'Linear Drainage - Known Inflow'!Channel150</vt:lpstr>
      <vt:lpstr>Channel150</vt:lpstr>
      <vt:lpstr>'Linear Drainage - Known Inflow'!Channel200</vt:lpstr>
      <vt:lpstr>Channel200</vt:lpstr>
      <vt:lpstr>'Linear Drainage - Known Inflow'!Channel430</vt:lpstr>
      <vt:lpstr>Channel430</vt:lpstr>
      <vt:lpstr>'Linear Drainage - Known Inflow'!def</vt:lpstr>
      <vt:lpstr>def</vt:lpstr>
      <vt:lpstr>'Linear Drainage - Known Inflow'!ghi</vt:lpstr>
      <vt:lpstr>ghi</vt:lpstr>
      <vt:lpstr>'Linear Drainage - Known Inflow'!Hexagon</vt:lpstr>
      <vt:lpstr>Hexagon</vt:lpstr>
      <vt:lpstr>'Linear Drainage - Known Inflow'!jkl</vt:lpstr>
      <vt:lpstr>jkl</vt:lpstr>
      <vt:lpstr>'Linear Drainage - Known Inflow'!KerbDrain150</vt:lpstr>
      <vt:lpstr>KerbDrain150</vt:lpstr>
      <vt:lpstr>'Linear Drainage - Known Inflow'!KerbDrain280</vt:lpstr>
      <vt:lpstr>KerbDrain280</vt:lpstr>
      <vt:lpstr>'Linear Drainage - Known Inflow'!mno</vt:lpstr>
      <vt:lpstr>mno</vt:lpstr>
      <vt:lpstr>'Linear Drainage - Known Inflow'!Oval</vt:lpstr>
      <vt:lpstr>Oval</vt:lpstr>
      <vt:lpstr>'Linear Drainage - Known Inflow'!pqr</vt:lpstr>
      <vt:lpstr>pqr</vt:lpstr>
      <vt:lpstr>'Linear Drainage - Known Inflow'!Print_Area</vt:lpstr>
      <vt:lpstr>'Linear Drainage - UK Catchment'!Print_Area</vt:lpstr>
      <vt:lpstr>'Linear Drainage - Known Inflow'!stu</vt:lpstr>
      <vt:lpstr>stu</vt:lpstr>
      <vt:lpstr>'Linear Drainage - Known Inflow'!Type</vt:lpstr>
      <vt:lpstr>Type</vt:lpstr>
      <vt:lpstr>'Linear Drainage - Known Inflow'!vw</vt:lpstr>
      <vt:lpstr>vw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Stephen Webster</cp:lastModifiedBy>
  <cp:lastPrinted>2017-04-19T07:24:07Z</cp:lastPrinted>
  <dcterms:created xsi:type="dcterms:W3CDTF">2017-01-17T19:38:42Z</dcterms:created>
  <dcterms:modified xsi:type="dcterms:W3CDTF">2017-08-29T09:50:37Z</dcterms:modified>
</cp:coreProperties>
</file>