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netorgft3030106-my.sharepoint.com/personal/stephen_civilweb-spreadsheets_com/Documents/01 - Drainage/_Trials/"/>
    </mc:Choice>
  </mc:AlternateContent>
  <xr:revisionPtr revIDLastSave="93" documentId="13_ncr:1_{4E4A1396-A7BD-4567-9113-478FB4D3C0BC}" xr6:coauthVersionLast="47" xr6:coauthVersionMax="47" xr10:uidLastSave="{68B63959-23AF-4982-9420-78B2E11192B0}"/>
  <workbookProtection workbookAlgorithmName="SHA-512" workbookHashValue="0hTC3CxcVlk6XygJC5W0CR9mSUqVXEQCRpoJvXrUX5S+Ob6KQJtuDsC+4IGv432Pk7y51SVsb5Bsf1udOKo1PQ==" workbookSaltValue="a+BSFkPWmxV1D94caQStHQ==" workbookSpinCount="100000" lockStructure="1"/>
  <bookViews>
    <workbookView xWindow="-108" yWindow="-108" windowWidth="23256" windowHeight="13176" activeTab="4" xr2:uid="{00000000-000D-0000-FFFF-FFFF00000000}"/>
  </bookViews>
  <sheets>
    <sheet name="Cover" sheetId="4" r:id="rId1"/>
    <sheet name="Metric" sheetId="5" r:id="rId2"/>
    <sheet name="UK" sheetId="1" r:id="rId3"/>
    <sheet name="HK" sheetId="6" r:id="rId4"/>
    <sheet name="US" sheetId="7" r:id="rId5"/>
  </sheets>
  <externalReferences>
    <externalReference r:id="rId6"/>
  </externalReferences>
  <definedNames>
    <definedName name="asd" localSheetId="3">HK!#REF!</definedName>
    <definedName name="asd" localSheetId="1">Metric!#REF!</definedName>
    <definedName name="asd" localSheetId="4">US!#REF!</definedName>
    <definedName name="asd">UK!#REF!</definedName>
    <definedName name="b">[1]Sheet1!$B$7</definedName>
    <definedName name="bn">[1]Sheet1!$J$13</definedName>
    <definedName name="cxz" localSheetId="3">HK!#REF!</definedName>
    <definedName name="cxz" localSheetId="1">Metric!#REF!</definedName>
    <definedName name="cxz" localSheetId="4">US!#REF!</definedName>
    <definedName name="cxz">UK!#REF!</definedName>
    <definedName name="eg">[1]Sheet1!$G$12</definedName>
    <definedName name="f">[1]Sheet1!$B$9</definedName>
    <definedName name="g">[1]Sheet1!$B$10</definedName>
    <definedName name="h">[1]Sheet1!$D$11</definedName>
    <definedName name="hn">[1]Sheet1!$J$14</definedName>
    <definedName name="_xlnm.Print_Area" localSheetId="0">Cover!$B$1:$AJ$52</definedName>
    <definedName name="_xlnm.Print_Area" localSheetId="3">HK!$A$1:$AJ$63</definedName>
    <definedName name="_xlnm.Print_Area" localSheetId="1">Metric!$A$1:$AJ$63</definedName>
    <definedName name="_xlnm.Print_Area" localSheetId="2">UK!$A$1:$AJ$63</definedName>
    <definedName name="_xlnm.Print_Area" localSheetId="4">US!$A$1:$AJ$63</definedName>
    <definedName name="SN">[1]Sheet1!$C$4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8" i="7" l="1"/>
  <c r="AL9" i="7"/>
  <c r="BP3" i="7" s="1"/>
  <c r="BP9" i="7"/>
  <c r="BW9" i="7"/>
  <c r="AL10" i="7"/>
  <c r="BP4" i="7" s="1"/>
  <c r="AL11" i="7"/>
  <c r="BP5" i="7" s="1"/>
  <c r="BW11" i="7"/>
  <c r="AL12" i="7"/>
  <c r="BP6" i="7" s="1"/>
  <c r="BP13" i="7"/>
  <c r="AL18" i="7"/>
  <c r="AL19" i="7"/>
  <c r="BP20" i="7"/>
  <c r="BW20" i="7"/>
  <c r="BJ21" i="7"/>
  <c r="BL21" i="7" s="1"/>
  <c r="BK21" i="7"/>
  <c r="BW21" i="7"/>
  <c r="BJ22" i="7"/>
  <c r="BL22" i="7" s="1"/>
  <c r="BW22" i="7"/>
  <c r="AL23" i="7"/>
  <c r="AN23" i="7"/>
  <c r="BW12" i="7" s="1"/>
  <c r="AP23" i="7"/>
  <c r="BP19" i="7" s="1"/>
  <c r="AR23" i="7"/>
  <c r="AT23" i="7"/>
  <c r="AW23" i="7"/>
  <c r="AL24" i="7"/>
  <c r="AN24" i="7"/>
  <c r="AP24" i="7"/>
  <c r="BP35" i="7" s="1"/>
  <c r="AR24" i="7"/>
  <c r="AT24" i="7"/>
  <c r="AW24" i="7"/>
  <c r="BJ24" i="7"/>
  <c r="BL24" i="7" s="1"/>
  <c r="AL25" i="7"/>
  <c r="AN25" i="7"/>
  <c r="AP25" i="7"/>
  <c r="AR25" i="7"/>
  <c r="AT25" i="7"/>
  <c r="AW25" i="7"/>
  <c r="AL26" i="7"/>
  <c r="BW40" i="7" s="1"/>
  <c r="AN26" i="7"/>
  <c r="BW42" i="7" s="1"/>
  <c r="AP26" i="7"/>
  <c r="AR26" i="7"/>
  <c r="AT26" i="7"/>
  <c r="AW26" i="7"/>
  <c r="AL27" i="7"/>
  <c r="AN27" i="7"/>
  <c r="AP27" i="7"/>
  <c r="AR27" i="7"/>
  <c r="AT27" i="7"/>
  <c r="AW27" i="7"/>
  <c r="AL28" i="7"/>
  <c r="AN28" i="7"/>
  <c r="AP28" i="7"/>
  <c r="AR28" i="7"/>
  <c r="AT28" i="7"/>
  <c r="AW28" i="7"/>
  <c r="BW28" i="7"/>
  <c r="BW29" i="7" s="1"/>
  <c r="AL29" i="7"/>
  <c r="BW70" i="7" s="1"/>
  <c r="AN29" i="7"/>
  <c r="BW72" i="7" s="1"/>
  <c r="AP29" i="7"/>
  <c r="AR29" i="7"/>
  <c r="AT29" i="7"/>
  <c r="AW29" i="7"/>
  <c r="BP29" i="7"/>
  <c r="AL30" i="7"/>
  <c r="AN30" i="7"/>
  <c r="BW82" i="7" s="1"/>
  <c r="AP30" i="7"/>
  <c r="BP131" i="7" s="1"/>
  <c r="AR30" i="7"/>
  <c r="AT30" i="7"/>
  <c r="AT46" i="7" s="1"/>
  <c r="AW30" i="7"/>
  <c r="BW30" i="7"/>
  <c r="AL31" i="7"/>
  <c r="AN31" i="7"/>
  <c r="BW92" i="7" s="1"/>
  <c r="AP31" i="7"/>
  <c r="AR31" i="7"/>
  <c r="AT31" i="7"/>
  <c r="AW31" i="7"/>
  <c r="BW31" i="7"/>
  <c r="AL32" i="7"/>
  <c r="BW100" i="7" s="1"/>
  <c r="AN32" i="7"/>
  <c r="BW102" i="7" s="1"/>
  <c r="AP32" i="7"/>
  <c r="AR32" i="7"/>
  <c r="AT32" i="7"/>
  <c r="AW32" i="7"/>
  <c r="BW32" i="7"/>
  <c r="BG33" i="7"/>
  <c r="BG56" i="7" s="1"/>
  <c r="BW33" i="7"/>
  <c r="BP53" i="7" s="1"/>
  <c r="BG34" i="7"/>
  <c r="BP36" i="7"/>
  <c r="S38" i="7"/>
  <c r="AT38" i="7"/>
  <c r="BW38" i="7"/>
  <c r="BW39" i="7" s="1"/>
  <c r="BW43" i="7" s="1"/>
  <c r="BP78" i="7" s="1"/>
  <c r="AL42" i="7" s="1"/>
  <c r="S39" i="7"/>
  <c r="AT39" i="7"/>
  <c r="S40" i="7"/>
  <c r="S41" i="7"/>
  <c r="AT41" i="7"/>
  <c r="BW41" i="7"/>
  <c r="S42" i="7"/>
  <c r="AT42" i="7"/>
  <c r="S43" i="7"/>
  <c r="S44" i="7"/>
  <c r="AT44" i="7"/>
  <c r="S45" i="7"/>
  <c r="Z58" i="7" s="1"/>
  <c r="AT45" i="7"/>
  <c r="BA57" i="7" s="1"/>
  <c r="BP45" i="7"/>
  <c r="S46" i="7"/>
  <c r="S47" i="7"/>
  <c r="Z60" i="7" s="1"/>
  <c r="S48" i="7"/>
  <c r="Z61" i="7" s="1"/>
  <c r="BW50" i="7"/>
  <c r="BP51" i="7"/>
  <c r="BW51" i="7"/>
  <c r="Z52" i="7"/>
  <c r="BP52" i="7"/>
  <c r="BW52" i="7"/>
  <c r="Z53" i="7"/>
  <c r="Z54" i="7"/>
  <c r="BA54" i="7"/>
  <c r="Z55" i="7"/>
  <c r="Z56" i="7"/>
  <c r="Z57" i="7"/>
  <c r="BG57" i="7"/>
  <c r="BW58" i="7"/>
  <c r="Z59" i="7"/>
  <c r="BW59" i="7"/>
  <c r="BW60" i="7"/>
  <c r="BP61" i="7"/>
  <c r="BP62" i="7" s="1"/>
  <c r="K41" i="7" s="1"/>
  <c r="BW61" i="7"/>
  <c r="BW62" i="7"/>
  <c r="BW63" i="7" s="1"/>
  <c r="BP67" i="7"/>
  <c r="BP68" i="7"/>
  <c r="BW68" i="7"/>
  <c r="BW69" i="7" s="1"/>
  <c r="BW71" i="7"/>
  <c r="BP77" i="7"/>
  <c r="BW78" i="7"/>
  <c r="BW79" i="7" s="1"/>
  <c r="BW80" i="7"/>
  <c r="BW81" i="7"/>
  <c r="BP83" i="7"/>
  <c r="BP84" i="7"/>
  <c r="BW88" i="7"/>
  <c r="BW89" i="7" s="1"/>
  <c r="BW93" i="7" s="1"/>
  <c r="BW90" i="7"/>
  <c r="BW91" i="7"/>
  <c r="BP93" i="7"/>
  <c r="BP99" i="7"/>
  <c r="BP100" i="7"/>
  <c r="BW101" i="7"/>
  <c r="BP109" i="7"/>
  <c r="BP115" i="7"/>
  <c r="BP116" i="7"/>
  <c r="BP125" i="7"/>
  <c r="BP132" i="7"/>
  <c r="BP141" i="7"/>
  <c r="BP147" i="7"/>
  <c r="BP148" i="7"/>
  <c r="BP157" i="7"/>
  <c r="BP163" i="7"/>
  <c r="BP164" i="7"/>
  <c r="BP173" i="7"/>
  <c r="AY3" i="6"/>
  <c r="AY4" i="6"/>
  <c r="AY5" i="6"/>
  <c r="AY6" i="6"/>
  <c r="BF8" i="6"/>
  <c r="AY9" i="6"/>
  <c r="BF9" i="6"/>
  <c r="BF13" i="6" s="1"/>
  <c r="AY10" i="6"/>
  <c r="BF10" i="6"/>
  <c r="BF11" i="6"/>
  <c r="BF12" i="6"/>
  <c r="AY13" i="6"/>
  <c r="BF14" i="6"/>
  <c r="BF15" i="6" s="1"/>
  <c r="BF24" i="6" s="1"/>
  <c r="BF25" i="6" s="1"/>
  <c r="BF34" i="6" s="1"/>
  <c r="BF35" i="6" s="1"/>
  <c r="BF44" i="6" s="1"/>
  <c r="BF45" i="6" s="1"/>
  <c r="BF54" i="6" s="1"/>
  <c r="BF55" i="6" s="1"/>
  <c r="BF64" i="6" s="1"/>
  <c r="BF65" i="6" s="1"/>
  <c r="BF74" i="6" s="1"/>
  <c r="BF75" i="6" s="1"/>
  <c r="BF84" i="6" s="1"/>
  <c r="BF85" i="6" s="1"/>
  <c r="BF94" i="6" s="1"/>
  <c r="BF95" i="6" s="1"/>
  <c r="BF104" i="6" s="1"/>
  <c r="BF105" i="6" s="1"/>
  <c r="AY15" i="6"/>
  <c r="M38" i="6" s="1"/>
  <c r="AQ21" i="6" s="1"/>
  <c r="AS33" i="6" s="1"/>
  <c r="AS34" i="6" s="1"/>
  <c r="BF18" i="6"/>
  <c r="AY19" i="6"/>
  <c r="BF19" i="6"/>
  <c r="AY20" i="6"/>
  <c r="BF20" i="6"/>
  <c r="AS21" i="6"/>
  <c r="BF21" i="6"/>
  <c r="AP22" i="6"/>
  <c r="AS22" i="6"/>
  <c r="BF22" i="6"/>
  <c r="AS23" i="6"/>
  <c r="BF23" i="6"/>
  <c r="AS25" i="6"/>
  <c r="BF28" i="6"/>
  <c r="AY29" i="6"/>
  <c r="BF29" i="6"/>
  <c r="BF30" i="6"/>
  <c r="BF31" i="6"/>
  <c r="BF32" i="6"/>
  <c r="BF33" i="6" s="1"/>
  <c r="AY53" i="6" s="1"/>
  <c r="K54" i="6" s="1"/>
  <c r="AP33" i="6"/>
  <c r="AQ33" i="6"/>
  <c r="AR33" i="6" s="1"/>
  <c r="AP34" i="6"/>
  <c r="AQ34" i="6"/>
  <c r="AQ35" i="6" s="1"/>
  <c r="AQ36" i="6" s="1"/>
  <c r="AQ37" i="6" s="1"/>
  <c r="AR34" i="6"/>
  <c r="AY35" i="6"/>
  <c r="AY36" i="6"/>
  <c r="AY37" i="6" s="1"/>
  <c r="K53" i="6" s="1"/>
  <c r="S38" i="6"/>
  <c r="BF38" i="6"/>
  <c r="S39" i="6"/>
  <c r="BF39" i="6"/>
  <c r="BF43" i="6" s="1"/>
  <c r="AY78" i="6" s="1"/>
  <c r="K42" i="6" s="1"/>
  <c r="K40" i="6"/>
  <c r="S40" i="6"/>
  <c r="BF40" i="6"/>
  <c r="S41" i="6"/>
  <c r="AS24" i="6" s="1"/>
  <c r="BF41" i="6"/>
  <c r="S42" i="6"/>
  <c r="BF42" i="6"/>
  <c r="S43" i="6"/>
  <c r="Z56" i="6" s="1"/>
  <c r="S44" i="6"/>
  <c r="Z57" i="6" s="1"/>
  <c r="S45" i="6"/>
  <c r="AS28" i="6" s="1"/>
  <c r="AS29" i="6" s="1"/>
  <c r="AS30" i="6" s="1"/>
  <c r="AS31" i="6" s="1"/>
  <c r="AY45" i="6"/>
  <c r="K46" i="6"/>
  <c r="M46" i="6"/>
  <c r="P46" i="6"/>
  <c r="S46" i="6"/>
  <c r="AF46" i="6"/>
  <c r="AY46" i="6"/>
  <c r="K47" i="6"/>
  <c r="AF47" i="6" s="1"/>
  <c r="M47" i="6"/>
  <c r="P47" i="6"/>
  <c r="S47" i="6"/>
  <c r="K48" i="6"/>
  <c r="M48" i="6"/>
  <c r="P48" i="6"/>
  <c r="S48" i="6"/>
  <c r="AF48" i="6"/>
  <c r="BF48" i="6"/>
  <c r="BF49" i="6" s="1"/>
  <c r="BF50" i="6"/>
  <c r="AY51" i="6"/>
  <c r="BF51" i="6"/>
  <c r="Z52" i="6"/>
  <c r="AY52" i="6"/>
  <c r="BF52" i="6"/>
  <c r="BF53" i="6" s="1"/>
  <c r="Z53" i="6"/>
  <c r="Z54" i="6"/>
  <c r="Z55" i="6"/>
  <c r="Z58" i="6"/>
  <c r="BF58" i="6"/>
  <c r="K59" i="6"/>
  <c r="N59" i="6"/>
  <c r="Q59" i="6"/>
  <c r="T59" i="6"/>
  <c r="W59" i="6"/>
  <c r="Z59" i="6"/>
  <c r="AF59" i="6"/>
  <c r="BF59" i="6"/>
  <c r="K60" i="6"/>
  <c r="N60" i="6"/>
  <c r="Q60" i="6"/>
  <c r="T60" i="6"/>
  <c r="W60" i="6"/>
  <c r="Z60" i="6"/>
  <c r="AF60" i="6"/>
  <c r="BF60" i="6"/>
  <c r="K61" i="6"/>
  <c r="N61" i="6"/>
  <c r="Q61" i="6"/>
  <c r="T61" i="6"/>
  <c r="W61" i="6"/>
  <c r="Z61" i="6"/>
  <c r="AF61" i="6"/>
  <c r="AY61" i="6"/>
  <c r="BF61" i="6"/>
  <c r="AY62" i="6"/>
  <c r="K41" i="6" s="1"/>
  <c r="BF62" i="6"/>
  <c r="BF63" i="6" s="1"/>
  <c r="AY101" i="6" s="1"/>
  <c r="K57" i="6" s="1"/>
  <c r="AY67" i="6"/>
  <c r="AY68" i="6"/>
  <c r="BF68" i="6"/>
  <c r="BF69" i="6" s="1"/>
  <c r="BF70" i="6"/>
  <c r="BF71" i="6"/>
  <c r="BF72" i="6"/>
  <c r="BF73" i="6" s="1"/>
  <c r="AY77" i="6"/>
  <c r="BF78" i="6"/>
  <c r="BF79" i="6" s="1"/>
  <c r="BF83" i="6" s="1"/>
  <c r="BF80" i="6"/>
  <c r="BF81" i="6"/>
  <c r="BF82" i="6"/>
  <c r="AY83" i="6"/>
  <c r="AY86" i="6" s="1"/>
  <c r="AY84" i="6"/>
  <c r="AY85" i="6"/>
  <c r="K56" i="6" s="1"/>
  <c r="BF88" i="6"/>
  <c r="BF89" i="6" s="1"/>
  <c r="BF90" i="6"/>
  <c r="BF91" i="6"/>
  <c r="BF92" i="6"/>
  <c r="BF93" i="6" s="1"/>
  <c r="AY93" i="6"/>
  <c r="AY94" i="6" s="1"/>
  <c r="K43" i="6" s="1"/>
  <c r="BF98" i="6"/>
  <c r="BF99" i="6" s="1"/>
  <c r="AY99" i="6"/>
  <c r="AY100" i="6"/>
  <c r="BF100" i="6"/>
  <c r="BF101" i="6"/>
  <c r="BF102" i="6"/>
  <c r="BF103" i="6" s="1"/>
  <c r="AY109" i="6"/>
  <c r="AY110" i="6"/>
  <c r="K44" i="6" s="1"/>
  <c r="AY115" i="6"/>
  <c r="AY116" i="6"/>
  <c r="AY125" i="6"/>
  <c r="AY126" i="6"/>
  <c r="K45" i="6" s="1"/>
  <c r="AY131" i="6"/>
  <c r="AY132" i="6"/>
  <c r="AY141" i="6"/>
  <c r="AY147" i="6"/>
  <c r="AY148" i="6"/>
  <c r="AY157" i="6"/>
  <c r="AY163" i="6"/>
  <c r="AY164" i="6"/>
  <c r="AY173" i="6"/>
  <c r="BP3" i="5"/>
  <c r="BP4" i="5"/>
  <c r="BP5" i="5"/>
  <c r="BP6" i="5"/>
  <c r="BW8" i="5"/>
  <c r="BP9" i="5"/>
  <c r="BW9" i="5"/>
  <c r="BW13" i="5" s="1"/>
  <c r="BP10" i="5"/>
  <c r="BW10" i="5"/>
  <c r="BW11" i="5"/>
  <c r="BW12" i="5"/>
  <c r="BP13" i="5"/>
  <c r="BW14" i="5"/>
  <c r="BW15" i="5" s="1"/>
  <c r="BW24" i="5" s="1"/>
  <c r="BP15" i="5"/>
  <c r="BW18" i="5"/>
  <c r="BP19" i="5"/>
  <c r="BW19" i="5"/>
  <c r="BP20" i="5"/>
  <c r="BW20" i="5"/>
  <c r="BW21" i="5"/>
  <c r="BG22" i="5"/>
  <c r="BG23" i="5" s="1"/>
  <c r="BG24" i="5" s="1"/>
  <c r="BG39" i="5" s="1"/>
  <c r="BG40" i="5" s="1"/>
  <c r="BJ22" i="5"/>
  <c r="BW22" i="5"/>
  <c r="BJ23" i="5"/>
  <c r="BW23" i="5"/>
  <c r="BP37" i="5" s="1"/>
  <c r="BJ26" i="5"/>
  <c r="BW28" i="5"/>
  <c r="BP29" i="5"/>
  <c r="BW29" i="5"/>
  <c r="BJ30" i="5"/>
  <c r="BW30" i="5"/>
  <c r="BW31" i="5"/>
  <c r="BW32" i="5"/>
  <c r="BW33" i="5" s="1"/>
  <c r="BP53" i="5" s="1"/>
  <c r="K54" i="5" s="1"/>
  <c r="BG33" i="5"/>
  <c r="BG34" i="5" s="1"/>
  <c r="BH33" i="5"/>
  <c r="BP35" i="5"/>
  <c r="BP36" i="5"/>
  <c r="M38" i="5"/>
  <c r="BH21" i="5" s="1"/>
  <c r="BJ33" i="5" s="1"/>
  <c r="BJ34" i="5" s="1"/>
  <c r="S38" i="5"/>
  <c r="BJ21" i="5" s="1"/>
  <c r="BP38" i="5"/>
  <c r="BP39" i="5" s="1"/>
  <c r="BP40" i="5" s="1"/>
  <c r="Q53" i="5" s="1"/>
  <c r="BW38" i="5"/>
  <c r="S39" i="5"/>
  <c r="BW39" i="5"/>
  <c r="BW43" i="5" s="1"/>
  <c r="S40" i="5"/>
  <c r="BW40" i="5"/>
  <c r="S41" i="5"/>
  <c r="Z54" i="5" s="1"/>
  <c r="BW41" i="5"/>
  <c r="S42" i="5"/>
  <c r="BJ25" i="5" s="1"/>
  <c r="BW42" i="5"/>
  <c r="S43" i="5"/>
  <c r="Z56" i="5" s="1"/>
  <c r="S44" i="5"/>
  <c r="S45" i="5"/>
  <c r="BJ28" i="5" s="1"/>
  <c r="BP45" i="5"/>
  <c r="S46" i="5"/>
  <c r="BP46" i="5"/>
  <c r="K40" i="5" s="1"/>
  <c r="S47" i="5"/>
  <c r="S48" i="5"/>
  <c r="BJ31" i="5" s="1"/>
  <c r="BW48" i="5"/>
  <c r="BW49" i="5" s="1"/>
  <c r="BW50" i="5"/>
  <c r="BP51" i="5"/>
  <c r="BP54" i="5" s="1"/>
  <c r="BP55" i="5" s="1"/>
  <c r="BP56" i="5" s="1"/>
  <c r="Q54" i="5" s="1"/>
  <c r="BW51" i="5"/>
  <c r="Z52" i="5"/>
  <c r="BP52" i="5"/>
  <c r="BW52" i="5"/>
  <c r="K53" i="5"/>
  <c r="Z53" i="5"/>
  <c r="Z55" i="5"/>
  <c r="Z58" i="5"/>
  <c r="BW58" i="5"/>
  <c r="BW59" i="5"/>
  <c r="Z60" i="5"/>
  <c r="BW60" i="5"/>
  <c r="BP61" i="5"/>
  <c r="BW61" i="5"/>
  <c r="BP62" i="5"/>
  <c r="K41" i="5" s="1"/>
  <c r="BW62" i="5"/>
  <c r="BW63" i="5" s="1"/>
  <c r="BP101" i="5" s="1"/>
  <c r="K57" i="5" s="1"/>
  <c r="BP67" i="5"/>
  <c r="BP68" i="5"/>
  <c r="BP69" i="5" s="1"/>
  <c r="K55" i="5" s="1"/>
  <c r="BW68" i="5"/>
  <c r="BW70" i="5"/>
  <c r="BW71" i="5"/>
  <c r="BW72" i="5"/>
  <c r="BP77" i="5"/>
  <c r="BP78" i="5"/>
  <c r="K42" i="5" s="1"/>
  <c r="BW78" i="5"/>
  <c r="BW79" i="5" s="1"/>
  <c r="BW80" i="5"/>
  <c r="BW81" i="5"/>
  <c r="BW82" i="5"/>
  <c r="BP83" i="5"/>
  <c r="BW83" i="5"/>
  <c r="BP84" i="5"/>
  <c r="BW88" i="5"/>
  <c r="BW90" i="5"/>
  <c r="BW91" i="5"/>
  <c r="BW92" i="5"/>
  <c r="BP93" i="5"/>
  <c r="BW98" i="5"/>
  <c r="BP99" i="5"/>
  <c r="BW99" i="5"/>
  <c r="BW103" i="5" s="1"/>
  <c r="BP100" i="5"/>
  <c r="BW100" i="5"/>
  <c r="BW101" i="5"/>
  <c r="BW102" i="5"/>
  <c r="BP109" i="5"/>
  <c r="BP115" i="5"/>
  <c r="BP116" i="5"/>
  <c r="BP125" i="5"/>
  <c r="BP131" i="5"/>
  <c r="BP132" i="5"/>
  <c r="BP133" i="5"/>
  <c r="K59" i="5" s="1"/>
  <c r="BP141" i="5"/>
  <c r="BP142" i="5"/>
  <c r="K46" i="5" s="1"/>
  <c r="BP147" i="5"/>
  <c r="BP148" i="5"/>
  <c r="BP157" i="5"/>
  <c r="BP163" i="5"/>
  <c r="BP164" i="5"/>
  <c r="BP173" i="5"/>
  <c r="BH33" i="1"/>
  <c r="BI33" i="1" s="1"/>
  <c r="BI34" i="1" s="1"/>
  <c r="BG33" i="1"/>
  <c r="BG34" i="1" s="1"/>
  <c r="BG22" i="1"/>
  <c r="BG35" i="1" s="1"/>
  <c r="BG36" i="1" s="1"/>
  <c r="S48" i="1"/>
  <c r="Z61" i="1" s="1"/>
  <c r="S47" i="1"/>
  <c r="Z60" i="1" s="1"/>
  <c r="S46" i="1"/>
  <c r="Z59" i="1" s="1"/>
  <c r="S45" i="1"/>
  <c r="S44" i="1"/>
  <c r="S43" i="1"/>
  <c r="S42" i="1"/>
  <c r="S41" i="1"/>
  <c r="S40" i="1"/>
  <c r="S39" i="1"/>
  <c r="S38" i="1"/>
  <c r="BJ21" i="1" s="1"/>
  <c r="BP173" i="1"/>
  <c r="BP163" i="1"/>
  <c r="BP157" i="1"/>
  <c r="BP164" i="1"/>
  <c r="BP148" i="1"/>
  <c r="BP147" i="1"/>
  <c r="BP141" i="1"/>
  <c r="BP131" i="1"/>
  <c r="BP125" i="1"/>
  <c r="BP132" i="1"/>
  <c r="BP115" i="1"/>
  <c r="BP109" i="1"/>
  <c r="BP116" i="1"/>
  <c r="BP99" i="1"/>
  <c r="BP93" i="1"/>
  <c r="BP100" i="1"/>
  <c r="BP83" i="1"/>
  <c r="BP77" i="1"/>
  <c r="BP84" i="1"/>
  <c r="BP67" i="1"/>
  <c r="BP51" i="1"/>
  <c r="BP35" i="1"/>
  <c r="BP45" i="1"/>
  <c r="BP61" i="1"/>
  <c r="BP68" i="1"/>
  <c r="BP52" i="1"/>
  <c r="BP13" i="1"/>
  <c r="BP36" i="1"/>
  <c r="BP29" i="1"/>
  <c r="BP19" i="1"/>
  <c r="BP20" i="1"/>
  <c r="BP6" i="1"/>
  <c r="BP5" i="1"/>
  <c r="BP4" i="1"/>
  <c r="BP3" i="1"/>
  <c r="BP9" i="1" s="1"/>
  <c r="BP15" i="1" s="1"/>
  <c r="M38" i="1" s="1"/>
  <c r="BH21" i="1" s="1"/>
  <c r="BJ33" i="1" s="1"/>
  <c r="BJ34" i="1" s="1"/>
  <c r="BW102" i="1"/>
  <c r="BW101" i="1"/>
  <c r="BW100" i="1"/>
  <c r="BW98" i="1"/>
  <c r="BW99" i="1" s="1"/>
  <c r="BW92" i="1"/>
  <c r="BW91" i="1"/>
  <c r="BW90" i="1"/>
  <c r="BW88" i="1"/>
  <c r="BW89" i="1" s="1"/>
  <c r="BW82" i="1"/>
  <c r="BW81" i="1"/>
  <c r="BW80" i="1"/>
  <c r="BW78" i="1"/>
  <c r="BW79" i="1" s="1"/>
  <c r="BW72" i="1"/>
  <c r="BW71" i="1"/>
  <c r="BW70" i="1"/>
  <c r="BW68" i="1"/>
  <c r="BW69" i="1" s="1"/>
  <c r="BW62" i="1"/>
  <c r="BW61" i="1"/>
  <c r="BW60" i="1"/>
  <c r="BW58" i="1"/>
  <c r="BW59" i="1" s="1"/>
  <c r="BW52" i="1"/>
  <c r="BW51" i="1"/>
  <c r="BW50" i="1"/>
  <c r="BW48" i="1"/>
  <c r="BW49" i="1" s="1"/>
  <c r="BW42" i="1"/>
  <c r="BW41" i="1"/>
  <c r="BW40" i="1"/>
  <c r="BW38" i="1"/>
  <c r="BW39" i="1" s="1"/>
  <c r="BW32" i="1"/>
  <c r="BW31" i="1"/>
  <c r="BW30" i="1"/>
  <c r="BW28" i="1"/>
  <c r="BW29" i="1" s="1"/>
  <c r="BW22" i="1"/>
  <c r="BW21" i="1"/>
  <c r="BW20" i="1"/>
  <c r="BW18" i="1"/>
  <c r="BW19" i="1" s="1"/>
  <c r="BW12" i="1"/>
  <c r="BW11" i="1"/>
  <c r="BW10" i="1"/>
  <c r="BW8" i="1"/>
  <c r="BW9" i="1" s="1"/>
  <c r="BW14" i="1"/>
  <c r="BW18" i="7" l="1"/>
  <c r="BW19" i="7" s="1"/>
  <c r="BP69" i="7"/>
  <c r="BW83" i="7"/>
  <c r="BW73" i="7"/>
  <c r="BP150" i="7"/>
  <c r="BP149" i="7"/>
  <c r="BP110" i="7"/>
  <c r="BP101" i="7"/>
  <c r="BW98" i="7"/>
  <c r="BW99" i="7" s="1"/>
  <c r="BW103" i="7" s="1"/>
  <c r="BA60" i="7"/>
  <c r="BJ31" i="7"/>
  <c r="BL31" i="7" s="1"/>
  <c r="AT48" i="7"/>
  <c r="BJ27" i="7"/>
  <c r="BL27" i="7" s="1"/>
  <c r="BA56" i="7"/>
  <c r="BW14" i="7"/>
  <c r="BW15" i="7" s="1"/>
  <c r="BW24" i="7" s="1"/>
  <c r="BW25" i="7" s="1"/>
  <c r="BW34" i="7" s="1"/>
  <c r="BW35" i="7" s="1"/>
  <c r="BW44" i="7" s="1"/>
  <c r="BW45" i="7" s="1"/>
  <c r="BW54" i="7" s="1"/>
  <c r="BW55" i="7" s="1"/>
  <c r="BW64" i="7" s="1"/>
  <c r="BW65" i="7" s="1"/>
  <c r="BW74" i="7" s="1"/>
  <c r="BW75" i="7" s="1"/>
  <c r="BW84" i="7" s="1"/>
  <c r="BW85" i="7" s="1"/>
  <c r="BW94" i="7" s="1"/>
  <c r="BW95" i="7" s="1"/>
  <c r="BW104" i="7" s="1"/>
  <c r="BW105" i="7" s="1"/>
  <c r="BH33" i="7"/>
  <c r="AL52" i="7"/>
  <c r="BP102" i="7"/>
  <c r="BA52" i="7"/>
  <c r="BP70" i="7"/>
  <c r="BP158" i="7"/>
  <c r="K42" i="7"/>
  <c r="AT40" i="7"/>
  <c r="BJ23" i="7" s="1"/>
  <c r="BL23" i="7" s="1"/>
  <c r="K54" i="7"/>
  <c r="BP54" i="7"/>
  <c r="BA58" i="7"/>
  <c r="BJ29" i="7"/>
  <c r="BL29" i="7" s="1"/>
  <c r="BW48" i="7"/>
  <c r="BW49" i="7" s="1"/>
  <c r="BA55" i="7"/>
  <c r="AT43" i="7"/>
  <c r="BJ26" i="7"/>
  <c r="BL26" i="7" s="1"/>
  <c r="BP46" i="7"/>
  <c r="K40" i="7" s="1"/>
  <c r="BP10" i="7"/>
  <c r="BW10" i="7"/>
  <c r="BG22" i="7"/>
  <c r="BP15" i="7"/>
  <c r="BW53" i="7"/>
  <c r="BW13" i="7"/>
  <c r="AL41" i="7"/>
  <c r="BA53" i="7"/>
  <c r="AL53" i="7"/>
  <c r="BW23" i="7"/>
  <c r="BP37" i="7" s="1"/>
  <c r="K53" i="7" s="1"/>
  <c r="BP14" i="7"/>
  <c r="AT47" i="7"/>
  <c r="BA59" i="7" s="1"/>
  <c r="BJ30" i="7"/>
  <c r="BL30" i="7" s="1"/>
  <c r="BJ25" i="7"/>
  <c r="BL25" i="7" s="1"/>
  <c r="BJ28" i="7"/>
  <c r="BL28" i="7" s="1"/>
  <c r="BA51" i="7"/>
  <c r="AY149" i="6"/>
  <c r="AY150" i="6" s="1"/>
  <c r="AY151" i="6" s="1"/>
  <c r="AY152" i="6" s="1"/>
  <c r="AY158" i="6"/>
  <c r="AY38" i="6"/>
  <c r="AY21" i="6"/>
  <c r="K52" i="6" s="1"/>
  <c r="AY14" i="6"/>
  <c r="K38" i="6" s="1"/>
  <c r="AF38" i="6" s="1"/>
  <c r="AY165" i="6"/>
  <c r="AY174" i="6"/>
  <c r="AY133" i="6"/>
  <c r="AY142" i="6"/>
  <c r="AY30" i="6"/>
  <c r="K39" i="6" s="1"/>
  <c r="AY166" i="6"/>
  <c r="AY167" i="6" s="1"/>
  <c r="AY168" i="6" s="1"/>
  <c r="AY102" i="6"/>
  <c r="AY87" i="6"/>
  <c r="AY88" i="6" s="1"/>
  <c r="Q56" i="6" s="1"/>
  <c r="N56" i="6"/>
  <c r="AY69" i="6"/>
  <c r="AS27" i="6"/>
  <c r="AS26" i="6"/>
  <c r="AY22" i="6"/>
  <c r="AY134" i="6"/>
  <c r="AY135" i="6" s="1"/>
  <c r="AY136" i="6" s="1"/>
  <c r="AR37" i="6"/>
  <c r="AR38" i="6" s="1"/>
  <c r="AQ38" i="6"/>
  <c r="AQ39" i="6" s="1"/>
  <c r="AY117" i="6"/>
  <c r="AY54" i="6"/>
  <c r="AR35" i="6"/>
  <c r="AR36" i="6" s="1"/>
  <c r="AP23" i="6"/>
  <c r="AP35" i="6"/>
  <c r="AP36" i="6" s="1"/>
  <c r="BP165" i="5"/>
  <c r="BP174" i="5"/>
  <c r="K48" i="5" s="1"/>
  <c r="BP14" i="5"/>
  <c r="K38" i="5" s="1"/>
  <c r="AF38" i="5" s="1"/>
  <c r="BP21" i="5"/>
  <c r="K52" i="5" s="1"/>
  <c r="BW89" i="5"/>
  <c r="BW93" i="5" s="1"/>
  <c r="BW53" i="5"/>
  <c r="BP85" i="5" s="1"/>
  <c r="K56" i="5" s="1"/>
  <c r="BP16" i="5"/>
  <c r="BP134" i="5"/>
  <c r="N54" i="5"/>
  <c r="BI33" i="5"/>
  <c r="BI34" i="5" s="1"/>
  <c r="BH34" i="5"/>
  <c r="BH35" i="5" s="1"/>
  <c r="BG25" i="5"/>
  <c r="BW25" i="5"/>
  <c r="BW34" i="5" s="1"/>
  <c r="BW35" i="5" s="1"/>
  <c r="BW44" i="5" s="1"/>
  <c r="BW45" i="5" s="1"/>
  <c r="BW54" i="5" s="1"/>
  <c r="BW55" i="5" s="1"/>
  <c r="BW64" i="5" s="1"/>
  <c r="BW65" i="5" s="1"/>
  <c r="BW74" i="5" s="1"/>
  <c r="BW75" i="5" s="1"/>
  <c r="BW84" i="5" s="1"/>
  <c r="BW85" i="5" s="1"/>
  <c r="BW94" i="5" s="1"/>
  <c r="BW95" i="5" s="1"/>
  <c r="BW104" i="5" s="1"/>
  <c r="BW105" i="5" s="1"/>
  <c r="BW69" i="5"/>
  <c r="BW73" i="5" s="1"/>
  <c r="N53" i="5"/>
  <c r="BP30" i="5"/>
  <c r="K39" i="5" s="1"/>
  <c r="BG37" i="5"/>
  <c r="BG38" i="5" s="1"/>
  <c r="BP70" i="5"/>
  <c r="Z59" i="5"/>
  <c r="BJ29" i="5"/>
  <c r="Z57" i="5"/>
  <c r="BJ27" i="5"/>
  <c r="BP102" i="5"/>
  <c r="BP110" i="5"/>
  <c r="K44" i="5" s="1"/>
  <c r="BJ24" i="5"/>
  <c r="BG35" i="5"/>
  <c r="BG36" i="5" s="1"/>
  <c r="Z61" i="5"/>
  <c r="BH34" i="1"/>
  <c r="BH35" i="1" s="1"/>
  <c r="BH36" i="1" s="1"/>
  <c r="BH37" i="1" s="1"/>
  <c r="Z52" i="1"/>
  <c r="BJ22" i="1"/>
  <c r="Z53" i="1"/>
  <c r="BJ23" i="1"/>
  <c r="Z54" i="1"/>
  <c r="BJ24" i="1"/>
  <c r="Z55" i="1"/>
  <c r="BJ25" i="1"/>
  <c r="BG23" i="1"/>
  <c r="BG37" i="1" s="1"/>
  <c r="BG38" i="1" s="1"/>
  <c r="Z57" i="1"/>
  <c r="BJ27" i="1"/>
  <c r="Z58" i="1"/>
  <c r="BJ28" i="1"/>
  <c r="BJ29" i="1" s="1"/>
  <c r="BJ30" i="1" s="1"/>
  <c r="BJ31" i="1" s="1"/>
  <c r="Z56" i="1"/>
  <c r="BJ26" i="1"/>
  <c r="BW33" i="1"/>
  <c r="BP53" i="1" s="1"/>
  <c r="K54" i="1" s="1"/>
  <c r="BW13" i="1"/>
  <c r="BP30" i="1" s="1"/>
  <c r="K39" i="1" s="1"/>
  <c r="BW15" i="1"/>
  <c r="BW24" i="1" s="1"/>
  <c r="BW25" i="1" s="1"/>
  <c r="BW34" i="1" s="1"/>
  <c r="BW35" i="1" s="1"/>
  <c r="BW44" i="1" s="1"/>
  <c r="BW45" i="1" s="1"/>
  <c r="BW54" i="1" s="1"/>
  <c r="BW55" i="1" s="1"/>
  <c r="BW64" i="1" s="1"/>
  <c r="BW65" i="1" s="1"/>
  <c r="BW74" i="1" s="1"/>
  <c r="BW75" i="1" s="1"/>
  <c r="BW84" i="1" s="1"/>
  <c r="BW85" i="1" s="1"/>
  <c r="BW94" i="1" s="1"/>
  <c r="BW95" i="1" s="1"/>
  <c r="BW104" i="1" s="1"/>
  <c r="BW105" i="1" s="1"/>
  <c r="BP10" i="1"/>
  <c r="BW103" i="1"/>
  <c r="BW93" i="1"/>
  <c r="BW83" i="1"/>
  <c r="BW73" i="1"/>
  <c r="BP117" i="1" s="1"/>
  <c r="K58" i="1" s="1"/>
  <c r="BW63" i="1"/>
  <c r="BW53" i="1"/>
  <c r="BW43" i="1"/>
  <c r="BP69" i="1" s="1"/>
  <c r="K55" i="1" s="1"/>
  <c r="BW23" i="1"/>
  <c r="BI33" i="7" l="1"/>
  <c r="BH34" i="7"/>
  <c r="BH56" i="7"/>
  <c r="BP165" i="7"/>
  <c r="BP174" i="7"/>
  <c r="BP151" i="7"/>
  <c r="BP152" i="7" s="1"/>
  <c r="N60" i="7"/>
  <c r="AO59" i="7"/>
  <c r="BK22" i="7"/>
  <c r="BG23" i="7"/>
  <c r="BG35" i="7"/>
  <c r="AO54" i="7"/>
  <c r="N55" i="7"/>
  <c r="BP71" i="7"/>
  <c r="BP72" i="7" s="1"/>
  <c r="BP142" i="7"/>
  <c r="BP133" i="7"/>
  <c r="K55" i="7"/>
  <c r="AL54" i="7"/>
  <c r="AL40" i="7"/>
  <c r="BP166" i="7"/>
  <c r="AN38" i="7"/>
  <c r="BH21" i="7" s="1"/>
  <c r="BJ33" i="7" s="1"/>
  <c r="BP16" i="7"/>
  <c r="M38" i="7"/>
  <c r="BP117" i="7"/>
  <c r="BP126" i="7"/>
  <c r="AL38" i="7"/>
  <c r="K38" i="7"/>
  <c r="BP55" i="7"/>
  <c r="BP56" i="7" s="1"/>
  <c r="N54" i="7"/>
  <c r="AO56" i="7"/>
  <c r="BP103" i="7"/>
  <c r="BP104" i="7" s="1"/>
  <c r="N57" i="7"/>
  <c r="AO53" i="7"/>
  <c r="BP21" i="7"/>
  <c r="BP30" i="7"/>
  <c r="K57" i="7"/>
  <c r="AL56" i="7"/>
  <c r="BP38" i="7"/>
  <c r="BP85" i="7"/>
  <c r="BP94" i="7"/>
  <c r="K47" i="7"/>
  <c r="AL47" i="7"/>
  <c r="K44" i="7"/>
  <c r="AL44" i="7"/>
  <c r="K60" i="7"/>
  <c r="AL59" i="7"/>
  <c r="AP24" i="6"/>
  <c r="AP37" i="6"/>
  <c r="AP38" i="6" s="1"/>
  <c r="N52" i="6"/>
  <c r="AY23" i="6"/>
  <c r="AY24" i="6" s="1"/>
  <c r="Q52" i="6" s="1"/>
  <c r="AY55" i="6"/>
  <c r="AY56" i="6" s="1"/>
  <c r="Q54" i="6" s="1"/>
  <c r="N54" i="6"/>
  <c r="K58" i="6"/>
  <c r="AY118" i="6"/>
  <c r="AY39" i="6"/>
  <c r="AY40" i="6" s="1"/>
  <c r="Q53" i="6" s="1"/>
  <c r="N53" i="6"/>
  <c r="AR39" i="6"/>
  <c r="AR40" i="6" s="1"/>
  <c r="AQ40" i="6"/>
  <c r="AQ41" i="6" s="1"/>
  <c r="K55" i="6"/>
  <c r="AY70" i="6"/>
  <c r="AY16" i="6"/>
  <c r="N57" i="6"/>
  <c r="AY103" i="6"/>
  <c r="AY104" i="6" s="1"/>
  <c r="Q57" i="6" s="1"/>
  <c r="BP126" i="5"/>
  <c r="K45" i="5" s="1"/>
  <c r="BP117" i="5"/>
  <c r="BP135" i="5"/>
  <c r="BP136" i="5" s="1"/>
  <c r="Q59" i="5" s="1"/>
  <c r="N59" i="5"/>
  <c r="K61" i="5"/>
  <c r="BP166" i="5"/>
  <c r="N55" i="5"/>
  <c r="BP71" i="5"/>
  <c r="BP72" i="5" s="1"/>
  <c r="Q55" i="5" s="1"/>
  <c r="BH36" i="5"/>
  <c r="BH37" i="5" s="1"/>
  <c r="BI35" i="5"/>
  <c r="BI36" i="5" s="1"/>
  <c r="N57" i="5"/>
  <c r="BP103" i="5"/>
  <c r="BP104" i="5" s="1"/>
  <c r="Q57" i="5" s="1"/>
  <c r="P38" i="5"/>
  <c r="BI21" i="5" s="1"/>
  <c r="BK33" i="5" s="1"/>
  <c r="BK34" i="5" s="1"/>
  <c r="BP22" i="5"/>
  <c r="BP86" i="5"/>
  <c r="BG26" i="5"/>
  <c r="BG41" i="5"/>
  <c r="BG42" i="5" s="1"/>
  <c r="BP158" i="5"/>
  <c r="K47" i="5" s="1"/>
  <c r="BP149" i="5"/>
  <c r="BP94" i="5"/>
  <c r="K43" i="5" s="1"/>
  <c r="BI35" i="1"/>
  <c r="BI36" i="1" s="1"/>
  <c r="BG24" i="1"/>
  <c r="BI37" i="1"/>
  <c r="BI38" i="1" s="1"/>
  <c r="BH38" i="1"/>
  <c r="BH39" i="1" s="1"/>
  <c r="BG25" i="1"/>
  <c r="BG39" i="1"/>
  <c r="BG40" i="1" s="1"/>
  <c r="BP21" i="1"/>
  <c r="BP14" i="1"/>
  <c r="K38" i="1" s="1"/>
  <c r="BP62" i="1"/>
  <c r="K41" i="1" s="1"/>
  <c r="BP70" i="1"/>
  <c r="N55" i="1" s="1"/>
  <c r="BP118" i="1"/>
  <c r="N58" i="1" s="1"/>
  <c r="BP54" i="1"/>
  <c r="N54" i="1" s="1"/>
  <c r="BP37" i="1"/>
  <c r="K53" i="1" s="1"/>
  <c r="BP46" i="1"/>
  <c r="K40" i="1" s="1"/>
  <c r="BP133" i="1"/>
  <c r="K59" i="1" s="1"/>
  <c r="BP142" i="1"/>
  <c r="K46" i="1" s="1"/>
  <c r="BP78" i="1"/>
  <c r="K42" i="1" s="1"/>
  <c r="BP94" i="1"/>
  <c r="K43" i="1" s="1"/>
  <c r="BP85" i="1"/>
  <c r="K56" i="1" s="1"/>
  <c r="BP101" i="1"/>
  <c r="K57" i="1" s="1"/>
  <c r="BP110" i="1"/>
  <c r="K44" i="1" s="1"/>
  <c r="BP158" i="1"/>
  <c r="K47" i="1" s="1"/>
  <c r="BP149" i="1"/>
  <c r="K60" i="1" s="1"/>
  <c r="BP126" i="1"/>
  <c r="K45" i="1" s="1"/>
  <c r="BP174" i="1"/>
  <c r="K48" i="1" s="1"/>
  <c r="BP165" i="1"/>
  <c r="K61" i="1" s="1"/>
  <c r="K56" i="7" l="1"/>
  <c r="AL55" i="7"/>
  <c r="BP86" i="7"/>
  <c r="K46" i="7"/>
  <c r="AL46" i="7"/>
  <c r="BJ56" i="7"/>
  <c r="BJ34" i="7"/>
  <c r="BJ57" i="7" s="1"/>
  <c r="Q60" i="7"/>
  <c r="AR59" i="7"/>
  <c r="AR53" i="7"/>
  <c r="Q54" i="7"/>
  <c r="K39" i="7"/>
  <c r="AL39" i="7"/>
  <c r="N61" i="7"/>
  <c r="BP167" i="7"/>
  <c r="BP168" i="7" s="1"/>
  <c r="AO60" i="7"/>
  <c r="K61" i="7"/>
  <c r="AL60" i="7"/>
  <c r="K52" i="7"/>
  <c r="AL51" i="7"/>
  <c r="BP22" i="7"/>
  <c r="AF38" i="7"/>
  <c r="BG58" i="7"/>
  <c r="BG36" i="7"/>
  <c r="BG59" i="7" s="1"/>
  <c r="Q57" i="7"/>
  <c r="AR56" i="7"/>
  <c r="BP134" i="7"/>
  <c r="K59" i="7"/>
  <c r="AL58" i="7"/>
  <c r="BP39" i="7"/>
  <c r="BP40" i="7" s="1"/>
  <c r="N53" i="7"/>
  <c r="AO52" i="7"/>
  <c r="AQ38" i="7"/>
  <c r="BI21" i="7" s="1"/>
  <c r="BK33" i="7" s="1"/>
  <c r="P38" i="7"/>
  <c r="Q55" i="7"/>
  <c r="AR54" i="7"/>
  <c r="K48" i="7"/>
  <c r="AL48" i="7"/>
  <c r="K45" i="7"/>
  <c r="AL45" i="7"/>
  <c r="BG24" i="7"/>
  <c r="BG37" i="7"/>
  <c r="BK23" i="7"/>
  <c r="BH35" i="7"/>
  <c r="BH57" i="7"/>
  <c r="K43" i="7"/>
  <c r="AL43" i="7"/>
  <c r="AL57" i="7"/>
  <c r="K58" i="7"/>
  <c r="BP118" i="7"/>
  <c r="BI34" i="7"/>
  <c r="BI57" i="7" s="1"/>
  <c r="BI56" i="7"/>
  <c r="AY25" i="6"/>
  <c r="P38" i="6"/>
  <c r="AR21" i="6" s="1"/>
  <c r="AT33" i="6" s="1"/>
  <c r="AT34" i="6" s="1"/>
  <c r="N58" i="6"/>
  <c r="AY119" i="6"/>
  <c r="AY120" i="6" s="1"/>
  <c r="Q58" i="6" s="1"/>
  <c r="N55" i="6"/>
  <c r="AY71" i="6"/>
  <c r="AY72" i="6" s="1"/>
  <c r="Q55" i="6" s="1"/>
  <c r="AR41" i="6"/>
  <c r="AR42" i="6" s="1"/>
  <c r="AQ42" i="6"/>
  <c r="AQ43" i="6" s="1"/>
  <c r="AP25" i="6"/>
  <c r="AP39" i="6"/>
  <c r="AP40" i="6" s="1"/>
  <c r="K60" i="5"/>
  <c r="BP150" i="5"/>
  <c r="BP167" i="5"/>
  <c r="BP168" i="5" s="1"/>
  <c r="Q61" i="5" s="1"/>
  <c r="N61" i="5"/>
  <c r="BP87" i="5"/>
  <c r="BP88" i="5" s="1"/>
  <c r="Q56" i="5" s="1"/>
  <c r="N56" i="5"/>
  <c r="K58" i="5"/>
  <c r="BP118" i="5"/>
  <c r="BG27" i="5"/>
  <c r="BG43" i="5"/>
  <c r="BG44" i="5" s="1"/>
  <c r="BI37" i="5"/>
  <c r="BI38" i="5" s="1"/>
  <c r="BH38" i="5"/>
  <c r="BH39" i="5" s="1"/>
  <c r="N52" i="5"/>
  <c r="BP23" i="5"/>
  <c r="BP24" i="5" s="1"/>
  <c r="BH40" i="1"/>
  <c r="BH41" i="1" s="1"/>
  <c r="BI39" i="1"/>
  <c r="BI40" i="1" s="1"/>
  <c r="BG26" i="1"/>
  <c r="BG41" i="1"/>
  <c r="BG42" i="1" s="1"/>
  <c r="BP22" i="1"/>
  <c r="N52" i="1" s="1"/>
  <c r="K52" i="1"/>
  <c r="AF38" i="1"/>
  <c r="BP16" i="1"/>
  <c r="P38" i="1" s="1"/>
  <c r="BI21" i="1" s="1"/>
  <c r="BK33" i="1" s="1"/>
  <c r="BK34" i="1" s="1"/>
  <c r="BP119" i="1"/>
  <c r="BP120" i="1" s="1"/>
  <c r="Q58" i="1" s="1"/>
  <c r="BP71" i="1"/>
  <c r="BP72" i="1" s="1"/>
  <c r="Q55" i="1" s="1"/>
  <c r="BP55" i="1"/>
  <c r="BP56" i="1" s="1"/>
  <c r="Q54" i="1" s="1"/>
  <c r="BP166" i="1"/>
  <c r="N61" i="1" s="1"/>
  <c r="BP86" i="1"/>
  <c r="N56" i="1" s="1"/>
  <c r="BP102" i="1"/>
  <c r="N57" i="1" s="1"/>
  <c r="BP150" i="1"/>
  <c r="N60" i="1" s="1"/>
  <c r="BP134" i="1"/>
  <c r="N59" i="1" s="1"/>
  <c r="BP38" i="1"/>
  <c r="N53" i="1" s="1"/>
  <c r="BG38" i="7" l="1"/>
  <c r="BG61" i="7" s="1"/>
  <c r="BG60" i="7"/>
  <c r="BP23" i="7"/>
  <c r="BP24" i="7" s="1"/>
  <c r="AO51" i="7"/>
  <c r="N52" i="7"/>
  <c r="BG25" i="7"/>
  <c r="BK24" i="7"/>
  <c r="BG39" i="7"/>
  <c r="BP87" i="7"/>
  <c r="BP88" i="7" s="1"/>
  <c r="N56" i="7"/>
  <c r="AO55" i="7"/>
  <c r="Q53" i="7"/>
  <c r="AR52" i="7"/>
  <c r="Q61" i="7"/>
  <c r="AR60" i="7"/>
  <c r="BP119" i="7"/>
  <c r="BP120" i="7" s="1"/>
  <c r="N58" i="7"/>
  <c r="AO57" i="7"/>
  <c r="BH36" i="7"/>
  <c r="BH58" i="7"/>
  <c r="BI35" i="7"/>
  <c r="N59" i="7"/>
  <c r="BP135" i="7"/>
  <c r="BP136" i="7" s="1"/>
  <c r="AO58" i="7"/>
  <c r="BK34" i="7"/>
  <c r="BK57" i="7" s="1"/>
  <c r="BK56" i="7"/>
  <c r="AR43" i="6"/>
  <c r="AR44" i="6" s="1"/>
  <c r="AQ44" i="6"/>
  <c r="AQ45" i="6" s="1"/>
  <c r="AP26" i="6"/>
  <c r="AP41" i="6"/>
  <c r="AP42" i="6" s="1"/>
  <c r="AY26" i="6"/>
  <c r="T52" i="6"/>
  <c r="Q52" i="5"/>
  <c r="BP25" i="5"/>
  <c r="BI39" i="5"/>
  <c r="BI40" i="5" s="1"/>
  <c r="BH40" i="5"/>
  <c r="BH41" i="5" s="1"/>
  <c r="BP151" i="5"/>
  <c r="BP152" i="5" s="1"/>
  <c r="Q60" i="5" s="1"/>
  <c r="N60" i="5"/>
  <c r="BG45" i="5"/>
  <c r="BG46" i="5" s="1"/>
  <c r="BG28" i="5"/>
  <c r="N58" i="5"/>
  <c r="BP119" i="5"/>
  <c r="BP120" i="5" s="1"/>
  <c r="Q58" i="5" s="1"/>
  <c r="BI41" i="1"/>
  <c r="BI42" i="1" s="1"/>
  <c r="BH42" i="1"/>
  <c r="BH43" i="1" s="1"/>
  <c r="BP23" i="1"/>
  <c r="BP24" i="1" s="1"/>
  <c r="Q52" i="1" s="1"/>
  <c r="BG27" i="1"/>
  <c r="BG43" i="1"/>
  <c r="BG44" i="1" s="1"/>
  <c r="BP167" i="1"/>
  <c r="BP168" i="1" s="1"/>
  <c r="Q61" i="1" s="1"/>
  <c r="BP103" i="1"/>
  <c r="BP104" i="1" s="1"/>
  <c r="Q57" i="1" s="1"/>
  <c r="BP135" i="1"/>
  <c r="BP136" i="1" s="1"/>
  <c r="Q59" i="1" s="1"/>
  <c r="BP151" i="1"/>
  <c r="BP152" i="1" s="1"/>
  <c r="Q60" i="1" s="1"/>
  <c r="BP39" i="1"/>
  <c r="BP40" i="1" s="1"/>
  <c r="Q53" i="1" s="1"/>
  <c r="BP87" i="1"/>
  <c r="BP88" i="1" s="1"/>
  <c r="Q56" i="1" s="1"/>
  <c r="BG62" i="7" l="1"/>
  <c r="BG40" i="7"/>
  <c r="BG63" i="7" s="1"/>
  <c r="BH37" i="7"/>
  <c r="BH59" i="7"/>
  <c r="Q56" i="7"/>
  <c r="AR55" i="7"/>
  <c r="Q52" i="7"/>
  <c r="AR51" i="7"/>
  <c r="BP25" i="7"/>
  <c r="BI58" i="7"/>
  <c r="BI36" i="7"/>
  <c r="BI59" i="7" s="1"/>
  <c r="BK25" i="7"/>
  <c r="BG41" i="7"/>
  <c r="BG26" i="7"/>
  <c r="Q59" i="7"/>
  <c r="AR58" i="7"/>
  <c r="Q58" i="7"/>
  <c r="AR57" i="7"/>
  <c r="AY31" i="6"/>
  <c r="W52" i="6"/>
  <c r="AF52" i="6" s="1"/>
  <c r="AP27" i="6"/>
  <c r="AP43" i="6"/>
  <c r="AP44" i="6" s="1"/>
  <c r="AR45" i="6"/>
  <c r="AR46" i="6" s="1"/>
  <c r="AQ46" i="6"/>
  <c r="AQ47" i="6" s="1"/>
  <c r="BI41" i="5"/>
  <c r="BI42" i="5" s="1"/>
  <c r="BH42" i="5"/>
  <c r="BH43" i="5" s="1"/>
  <c r="BP26" i="5"/>
  <c r="T52" i="5"/>
  <c r="BG29" i="5"/>
  <c r="BG47" i="5"/>
  <c r="BG48" i="5" s="1"/>
  <c r="BI43" i="1"/>
  <c r="BI44" i="1" s="1"/>
  <c r="BH44" i="1"/>
  <c r="BH45" i="1" s="1"/>
  <c r="BP25" i="1"/>
  <c r="T52" i="1" s="1"/>
  <c r="BG28" i="1"/>
  <c r="BG45" i="1"/>
  <c r="BG46" i="1" s="1"/>
  <c r="BK26" i="7" l="1"/>
  <c r="BG27" i="7"/>
  <c r="BG43" i="7"/>
  <c r="BH60" i="7"/>
  <c r="BH38" i="7"/>
  <c r="BI37" i="7"/>
  <c r="BG64" i="7"/>
  <c r="BG42" i="7"/>
  <c r="BG65" i="7" s="1"/>
  <c r="BP26" i="7"/>
  <c r="T52" i="7"/>
  <c r="AU51" i="7"/>
  <c r="AR47" i="6"/>
  <c r="AR48" i="6" s="1"/>
  <c r="AQ48" i="6"/>
  <c r="AQ49" i="6" s="1"/>
  <c r="AP28" i="6"/>
  <c r="AP45" i="6"/>
  <c r="AP46" i="6" s="1"/>
  <c r="M39" i="6"/>
  <c r="AY32" i="6"/>
  <c r="BG30" i="5"/>
  <c r="BG49" i="5"/>
  <c r="BG50" i="5" s="1"/>
  <c r="W52" i="5"/>
  <c r="AF52" i="5" s="1"/>
  <c r="BP31" i="5"/>
  <c r="BI43" i="5"/>
  <c r="BI44" i="5" s="1"/>
  <c r="BH44" i="5"/>
  <c r="BH45" i="5" s="1"/>
  <c r="BI45" i="1"/>
  <c r="BI46" i="1" s="1"/>
  <c r="BH46" i="1"/>
  <c r="BH47" i="1" s="1"/>
  <c r="BP26" i="1"/>
  <c r="W52" i="1" s="1"/>
  <c r="AF52" i="1" s="1"/>
  <c r="BG29" i="1"/>
  <c r="BG47" i="1"/>
  <c r="BG48" i="1" s="1"/>
  <c r="BI38" i="7" l="1"/>
  <c r="BI61" i="7" s="1"/>
  <c r="BI60" i="7"/>
  <c r="BH61" i="7"/>
  <c r="BH39" i="7"/>
  <c r="BG66" i="7"/>
  <c r="BG44" i="7"/>
  <c r="BG67" i="7" s="1"/>
  <c r="BK27" i="7"/>
  <c r="BG28" i="7"/>
  <c r="BG45" i="7"/>
  <c r="BP31" i="7"/>
  <c r="AX51" i="7"/>
  <c r="AF52" i="7" s="1"/>
  <c r="W52" i="7"/>
  <c r="AQ50" i="6"/>
  <c r="AQ51" i="6" s="1"/>
  <c r="AR49" i="6"/>
  <c r="AR50" i="6" s="1"/>
  <c r="P39" i="6"/>
  <c r="AY41" i="6"/>
  <c r="AQ22" i="6"/>
  <c r="AS35" i="6"/>
  <c r="AS36" i="6"/>
  <c r="AF39" i="6"/>
  <c r="AP29" i="6"/>
  <c r="AP47" i="6"/>
  <c r="AP48" i="6" s="1"/>
  <c r="BH46" i="5"/>
  <c r="BH47" i="5" s="1"/>
  <c r="BI45" i="5"/>
  <c r="BI46" i="5" s="1"/>
  <c r="BP32" i="5"/>
  <c r="M39" i="5"/>
  <c r="BG51" i="5"/>
  <c r="BG52" i="5" s="1"/>
  <c r="BG31" i="5"/>
  <c r="BG53" i="5" s="1"/>
  <c r="BG54" i="5" s="1"/>
  <c r="BH48" i="1"/>
  <c r="BH49" i="1" s="1"/>
  <c r="BI47" i="1"/>
  <c r="BI48" i="1" s="1"/>
  <c r="BP31" i="1"/>
  <c r="M39" i="1" s="1"/>
  <c r="BG30" i="1"/>
  <c r="BG49" i="1"/>
  <c r="BG50" i="1" s="1"/>
  <c r="BI39" i="7" l="1"/>
  <c r="BH40" i="7"/>
  <c r="BH62" i="7"/>
  <c r="BG29" i="7"/>
  <c r="BK28" i="7"/>
  <c r="BG47" i="7"/>
  <c r="BP32" i="7"/>
  <c r="M39" i="7"/>
  <c r="AN39" i="7"/>
  <c r="BG46" i="7"/>
  <c r="BG69" i="7" s="1"/>
  <c r="BG68" i="7"/>
  <c r="T53" i="6"/>
  <c r="AY42" i="6"/>
  <c r="AR22" i="6"/>
  <c r="AT35" i="6"/>
  <c r="AT36" i="6"/>
  <c r="AP30" i="6"/>
  <c r="AP49" i="6"/>
  <c r="AP50" i="6" s="1"/>
  <c r="AQ52" i="6"/>
  <c r="AQ53" i="6" s="1"/>
  <c r="AR51" i="6"/>
  <c r="AR52" i="6" s="1"/>
  <c r="BJ35" i="5"/>
  <c r="BJ36" i="5"/>
  <c r="BH22" i="5"/>
  <c r="AF39" i="5"/>
  <c r="P39" i="5"/>
  <c r="BP41" i="5"/>
  <c r="BH48" i="5"/>
  <c r="BH49" i="5" s="1"/>
  <c r="BI47" i="5"/>
  <c r="BI48" i="5" s="1"/>
  <c r="BJ36" i="1"/>
  <c r="BJ35" i="1"/>
  <c r="BH50" i="1"/>
  <c r="BH51" i="1" s="1"/>
  <c r="BI49" i="1"/>
  <c r="BI50" i="1" s="1"/>
  <c r="BH22" i="1"/>
  <c r="AF39" i="1"/>
  <c r="BP32" i="1"/>
  <c r="P39" i="1" s="1"/>
  <c r="BG31" i="1"/>
  <c r="BG53" i="1" s="1"/>
  <c r="BG54" i="1" s="1"/>
  <c r="BG51" i="1"/>
  <c r="BG52" i="1" s="1"/>
  <c r="BG48" i="7" l="1"/>
  <c r="BG71" i="7" s="1"/>
  <c r="BG70" i="7"/>
  <c r="BG30" i="7"/>
  <c r="BG49" i="7"/>
  <c r="BK29" i="7"/>
  <c r="P39" i="7"/>
  <c r="BP41" i="7"/>
  <c r="AQ39" i="7"/>
  <c r="BH41" i="7"/>
  <c r="BH63" i="7"/>
  <c r="BH22" i="7"/>
  <c r="BJ35" i="7"/>
  <c r="BJ58" i="7" s="1"/>
  <c r="BJ36" i="7"/>
  <c r="BJ59" i="7" s="1"/>
  <c r="AF39" i="7"/>
  <c r="BI40" i="7"/>
  <c r="BI63" i="7" s="1"/>
  <c r="BI62" i="7"/>
  <c r="AP31" i="6"/>
  <c r="AP53" i="6" s="1"/>
  <c r="AP54" i="6" s="1"/>
  <c r="AP51" i="6"/>
  <c r="AP52" i="6" s="1"/>
  <c r="AY47" i="6"/>
  <c r="W53" i="6"/>
  <c r="AF53" i="6" s="1"/>
  <c r="AQ54" i="6"/>
  <c r="AR53" i="6"/>
  <c r="AR54" i="6" s="1"/>
  <c r="BH50" i="5"/>
  <c r="BH51" i="5" s="1"/>
  <c r="BI49" i="5"/>
  <c r="BI50" i="5" s="1"/>
  <c r="T53" i="5"/>
  <c r="BP42" i="5"/>
  <c r="BK36" i="5"/>
  <c r="BK35" i="5"/>
  <c r="BI22" i="5"/>
  <c r="BI22" i="1"/>
  <c r="BK36" i="1"/>
  <c r="BK35" i="1"/>
  <c r="BI51" i="1"/>
  <c r="BI52" i="1" s="1"/>
  <c r="BH52" i="1"/>
  <c r="BH53" i="1" s="1"/>
  <c r="BP41" i="1"/>
  <c r="T53" i="1" s="1"/>
  <c r="BG50" i="7" l="1"/>
  <c r="BG73" i="7" s="1"/>
  <c r="BG72" i="7"/>
  <c r="BI22" i="7"/>
  <c r="BK36" i="7"/>
  <c r="BK59" i="7" s="1"/>
  <c r="BK35" i="7"/>
  <c r="BK58" i="7" s="1"/>
  <c r="BP42" i="7"/>
  <c r="T53" i="7"/>
  <c r="AU52" i="7"/>
  <c r="BG51" i="7"/>
  <c r="BG31" i="7"/>
  <c r="BK30" i="7"/>
  <c r="BI41" i="7"/>
  <c r="BH64" i="7"/>
  <c r="BH42" i="7"/>
  <c r="AY48" i="6"/>
  <c r="M40" i="6"/>
  <c r="BP47" i="5"/>
  <c r="W53" i="5"/>
  <c r="AF53" i="5" s="1"/>
  <c r="BH52" i="5"/>
  <c r="BH53" i="5" s="1"/>
  <c r="BI51" i="5"/>
  <c r="BI52" i="5" s="1"/>
  <c r="BH54" i="1"/>
  <c r="BI53" i="1"/>
  <c r="BI54" i="1" s="1"/>
  <c r="BP42" i="1"/>
  <c r="W53" i="1" s="1"/>
  <c r="AF53" i="1" s="1"/>
  <c r="BH65" i="7" l="1"/>
  <c r="BH43" i="7"/>
  <c r="BP47" i="7"/>
  <c r="W53" i="7"/>
  <c r="AX52" i="7"/>
  <c r="AF53" i="7" s="1"/>
  <c r="BI42" i="7"/>
  <c r="BI65" i="7" s="1"/>
  <c r="BI64" i="7"/>
  <c r="BK31" i="7"/>
  <c r="BG53" i="7"/>
  <c r="BG74" i="7"/>
  <c r="BG52" i="7"/>
  <c r="BG75" i="7" s="1"/>
  <c r="AY57" i="6"/>
  <c r="P40" i="6"/>
  <c r="AS37" i="6"/>
  <c r="AS38" i="6"/>
  <c r="AF40" i="6"/>
  <c r="AQ23" i="6"/>
  <c r="BH54" i="5"/>
  <c r="BI53" i="5"/>
  <c r="BI54" i="5" s="1"/>
  <c r="BP48" i="5"/>
  <c r="M40" i="5"/>
  <c r="BP47" i="1"/>
  <c r="M40" i="1" s="1"/>
  <c r="M40" i="7" l="1"/>
  <c r="BP48" i="7"/>
  <c r="AN40" i="7"/>
  <c r="BI43" i="7"/>
  <c r="BH44" i="7"/>
  <c r="BH66" i="7"/>
  <c r="BG76" i="7"/>
  <c r="BG54" i="7"/>
  <c r="BG77" i="7" s="1"/>
  <c r="AY58" i="6"/>
  <c r="T54" i="6"/>
  <c r="AT37" i="6"/>
  <c r="AT38" i="6"/>
  <c r="AR23" i="6"/>
  <c r="BJ38" i="5"/>
  <c r="BJ37" i="5"/>
  <c r="AF40" i="5"/>
  <c r="BH23" i="5"/>
  <c r="BP57" i="5"/>
  <c r="P40" i="5"/>
  <c r="BH23" i="1"/>
  <c r="BJ38" i="1"/>
  <c r="BJ37" i="1"/>
  <c r="BP48" i="1"/>
  <c r="P40" i="1" s="1"/>
  <c r="AF40" i="1"/>
  <c r="BP57" i="7" l="1"/>
  <c r="P40" i="7"/>
  <c r="AQ40" i="7"/>
  <c r="BH45" i="7"/>
  <c r="BH67" i="7"/>
  <c r="BI66" i="7"/>
  <c r="BI44" i="7"/>
  <c r="BI67" i="7" s="1"/>
  <c r="BJ37" i="7"/>
  <c r="BJ60" i="7" s="1"/>
  <c r="BJ38" i="7"/>
  <c r="BJ61" i="7" s="1"/>
  <c r="AF40" i="7"/>
  <c r="BH23" i="7"/>
  <c r="W54" i="6"/>
  <c r="AF54" i="6" s="1"/>
  <c r="AY63" i="6"/>
  <c r="BK37" i="5"/>
  <c r="BK38" i="5"/>
  <c r="BI23" i="5"/>
  <c r="BP58" i="5"/>
  <c r="T54" i="5"/>
  <c r="BI23" i="1"/>
  <c r="BK38" i="1"/>
  <c r="BK37" i="1"/>
  <c r="BP57" i="1"/>
  <c r="T54" i="1" s="1"/>
  <c r="BH68" i="7" l="1"/>
  <c r="BI45" i="7"/>
  <c r="BH46" i="7"/>
  <c r="BK38" i="7"/>
  <c r="BK61" i="7" s="1"/>
  <c r="BK37" i="7"/>
  <c r="BK60" i="7" s="1"/>
  <c r="BI23" i="7"/>
  <c r="T54" i="7"/>
  <c r="BP58" i="7"/>
  <c r="AU53" i="7"/>
  <c r="M41" i="6"/>
  <c r="AY64" i="6"/>
  <c r="W54" i="5"/>
  <c r="AF54" i="5" s="1"/>
  <c r="BP63" i="5"/>
  <c r="BP58" i="1"/>
  <c r="W54" i="1" s="1"/>
  <c r="AF54" i="1" s="1"/>
  <c r="BH47" i="7" l="1"/>
  <c r="BH69" i="7"/>
  <c r="BI46" i="7"/>
  <c r="BI69" i="7" s="1"/>
  <c r="BI68" i="7"/>
  <c r="AX53" i="7"/>
  <c r="AF54" i="7" s="1"/>
  <c r="W54" i="7"/>
  <c r="BP63" i="7"/>
  <c r="P41" i="6"/>
  <c r="AY73" i="6"/>
  <c r="AS39" i="6"/>
  <c r="AS40" i="6"/>
  <c r="AF41" i="6"/>
  <c r="AQ24" i="6"/>
  <c r="BP64" i="5"/>
  <c r="M41" i="5"/>
  <c r="BP63" i="1"/>
  <c r="BP64" i="1"/>
  <c r="P41" i="1" s="1"/>
  <c r="M41" i="1"/>
  <c r="M41" i="7" l="1"/>
  <c r="BP64" i="7"/>
  <c r="AN41" i="7"/>
  <c r="BH70" i="7"/>
  <c r="BI47" i="7"/>
  <c r="BH48" i="7"/>
  <c r="T55" i="6"/>
  <c r="AY74" i="6"/>
  <c r="AT39" i="6"/>
  <c r="AT40" i="6"/>
  <c r="AR24" i="6"/>
  <c r="BJ39" i="5"/>
  <c r="BJ40" i="5"/>
  <c r="AF41" i="5"/>
  <c r="BH24" i="5"/>
  <c r="P41" i="5"/>
  <c r="BP73" i="5"/>
  <c r="BI24" i="1"/>
  <c r="BK40" i="1"/>
  <c r="BK39" i="1"/>
  <c r="BJ40" i="1"/>
  <c r="BJ39" i="1"/>
  <c r="BH24" i="1"/>
  <c r="AF41" i="1"/>
  <c r="BP73" i="1"/>
  <c r="T55" i="1" s="1"/>
  <c r="BH49" i="7" l="1"/>
  <c r="BH71" i="7"/>
  <c r="BI48" i="7"/>
  <c r="BI71" i="7" s="1"/>
  <c r="BI70" i="7"/>
  <c r="BJ40" i="7"/>
  <c r="BJ63" i="7" s="1"/>
  <c r="BJ39" i="7"/>
  <c r="BJ62" i="7" s="1"/>
  <c r="AF41" i="7"/>
  <c r="BH24" i="7"/>
  <c r="AQ41" i="7"/>
  <c r="P41" i="7"/>
  <c r="BP73" i="7"/>
  <c r="W55" i="6"/>
  <c r="AF55" i="6" s="1"/>
  <c r="AY79" i="6"/>
  <c r="BP74" i="5"/>
  <c r="T55" i="5"/>
  <c r="BK39" i="5"/>
  <c r="BK40" i="5"/>
  <c r="BI24" i="5"/>
  <c r="BP74" i="1"/>
  <c r="W55" i="1" s="1"/>
  <c r="AF55" i="1" s="1"/>
  <c r="BP74" i="7" l="1"/>
  <c r="AU54" i="7"/>
  <c r="T55" i="7"/>
  <c r="BK39" i="7"/>
  <c r="BK62" i="7" s="1"/>
  <c r="BK40" i="7"/>
  <c r="BK63" i="7" s="1"/>
  <c r="BI24" i="7"/>
  <c r="BH50" i="7"/>
  <c r="BI49" i="7"/>
  <c r="BH72" i="7"/>
  <c r="AY80" i="6"/>
  <c r="M42" i="6"/>
  <c r="W55" i="5"/>
  <c r="AF55" i="5" s="1"/>
  <c r="BP79" i="5"/>
  <c r="BP79" i="1"/>
  <c r="M42" i="1" s="1"/>
  <c r="BH51" i="7" l="1"/>
  <c r="BH73" i="7"/>
  <c r="BI50" i="7"/>
  <c r="BI73" i="7" s="1"/>
  <c r="BI72" i="7"/>
  <c r="W55" i="7"/>
  <c r="BP79" i="7"/>
  <c r="AX54" i="7"/>
  <c r="AF55" i="7" s="1"/>
  <c r="AS41" i="6"/>
  <c r="AS42" i="6"/>
  <c r="AF42" i="6"/>
  <c r="AQ25" i="6"/>
  <c r="AY89" i="6"/>
  <c r="P42" i="6"/>
  <c r="BP80" i="5"/>
  <c r="M42" i="5"/>
  <c r="BJ41" i="1"/>
  <c r="BJ42" i="1"/>
  <c r="BH25" i="1"/>
  <c r="AF42" i="1"/>
  <c r="BP80" i="1"/>
  <c r="P42" i="1" s="1"/>
  <c r="AN42" i="7" l="1"/>
  <c r="BP80" i="7"/>
  <c r="M42" i="7"/>
  <c r="BH52" i="7"/>
  <c r="BI51" i="7"/>
  <c r="BH74" i="7"/>
  <c r="AT41" i="6"/>
  <c r="AT42" i="6"/>
  <c r="AR25" i="6"/>
  <c r="T56" i="6"/>
  <c r="AY90" i="6"/>
  <c r="BJ41" i="5"/>
  <c r="BJ42" i="5"/>
  <c r="AF42" i="5"/>
  <c r="BH25" i="5"/>
  <c r="P42" i="5"/>
  <c r="BP89" i="5"/>
  <c r="BI25" i="1"/>
  <c r="BK41" i="1"/>
  <c r="BK42" i="1"/>
  <c r="BP89" i="1"/>
  <c r="T56" i="1" s="1"/>
  <c r="AQ42" i="7" l="1"/>
  <c r="BP89" i="7"/>
  <c r="P42" i="7"/>
  <c r="BJ41" i="7"/>
  <c r="BJ64" i="7" s="1"/>
  <c r="BJ42" i="7"/>
  <c r="BJ65" i="7" s="1"/>
  <c r="AF42" i="7"/>
  <c r="BH25" i="7"/>
  <c r="BI52" i="7"/>
  <c r="BI75" i="7" s="1"/>
  <c r="BI74" i="7"/>
  <c r="BH53" i="7"/>
  <c r="BH75" i="7"/>
  <c r="AY95" i="6"/>
  <c r="W56" i="6"/>
  <c r="AF56" i="6" s="1"/>
  <c r="BK41" i="5"/>
  <c r="BK42" i="5"/>
  <c r="BI25" i="5"/>
  <c r="BP90" i="5"/>
  <c r="T56" i="5"/>
  <c r="BP90" i="1"/>
  <c r="W56" i="1" s="1"/>
  <c r="AF56" i="1" s="1"/>
  <c r="BH54" i="7" l="1"/>
  <c r="BH77" i="7" s="1"/>
  <c r="BH76" i="7"/>
  <c r="BI53" i="7"/>
  <c r="T56" i="7"/>
  <c r="BP90" i="7"/>
  <c r="AU55" i="7"/>
  <c r="BK41" i="7"/>
  <c r="BK64" i="7" s="1"/>
  <c r="BK42" i="7"/>
  <c r="BK65" i="7" s="1"/>
  <c r="BI25" i="7"/>
  <c r="M43" i="6"/>
  <c r="AY96" i="6"/>
  <c r="BP95" i="5"/>
  <c r="W56" i="5"/>
  <c r="AF56" i="5" s="1"/>
  <c r="BP95" i="1"/>
  <c r="M43" i="1" s="1"/>
  <c r="BP95" i="7" l="1"/>
  <c r="W56" i="7"/>
  <c r="AX55" i="7"/>
  <c r="AF56" i="7" s="1"/>
  <c r="BI76" i="7"/>
  <c r="BI54" i="7"/>
  <c r="BI77" i="7" s="1"/>
  <c r="P43" i="6"/>
  <c r="AY105" i="6"/>
  <c r="AS44" i="6"/>
  <c r="AS43" i="6"/>
  <c r="AF43" i="6"/>
  <c r="AQ26" i="6"/>
  <c r="M43" i="5"/>
  <c r="BP96" i="5"/>
  <c r="BJ44" i="1"/>
  <c r="BJ43" i="1"/>
  <c r="BH26" i="1"/>
  <c r="AF43" i="1"/>
  <c r="BP96" i="1"/>
  <c r="P43" i="1" s="1"/>
  <c r="M43" i="7" l="1"/>
  <c r="AN43" i="7"/>
  <c r="BP96" i="7"/>
  <c r="T57" i="6"/>
  <c r="AY106" i="6"/>
  <c r="AT43" i="6"/>
  <c r="AT44" i="6"/>
  <c r="AR26" i="6"/>
  <c r="P43" i="5"/>
  <c r="BP105" i="5"/>
  <c r="BJ44" i="5"/>
  <c r="BJ43" i="5"/>
  <c r="AF43" i="5"/>
  <c r="BH26" i="5"/>
  <c r="BI26" i="1"/>
  <c r="BK44" i="1"/>
  <c r="BK43" i="1"/>
  <c r="BP105" i="1"/>
  <c r="T57" i="1" s="1"/>
  <c r="BJ43" i="7" l="1"/>
  <c r="BJ66" i="7" s="1"/>
  <c r="BJ44" i="7"/>
  <c r="BJ67" i="7" s="1"/>
  <c r="AF43" i="7"/>
  <c r="BH26" i="7"/>
  <c r="P43" i="7"/>
  <c r="BP105" i="7"/>
  <c r="AQ43" i="7"/>
  <c r="W57" i="6"/>
  <c r="AF57" i="6" s="1"/>
  <c r="AY111" i="6"/>
  <c r="BP106" i="5"/>
  <c r="T57" i="5"/>
  <c r="BK43" i="5"/>
  <c r="BK44" i="5"/>
  <c r="BI26" i="5"/>
  <c r="BP106" i="1"/>
  <c r="W57" i="1" s="1"/>
  <c r="AF57" i="1" s="1"/>
  <c r="BK44" i="7" l="1"/>
  <c r="BK67" i="7" s="1"/>
  <c r="BK43" i="7"/>
  <c r="BK66" i="7" s="1"/>
  <c r="BI26" i="7"/>
  <c r="T57" i="7"/>
  <c r="BP106" i="7"/>
  <c r="AU56" i="7"/>
  <c r="AY112" i="6"/>
  <c r="M44" i="6"/>
  <c r="BP111" i="5"/>
  <c r="W57" i="5"/>
  <c r="AF57" i="5" s="1"/>
  <c r="BP111" i="1"/>
  <c r="M44" i="1" s="1"/>
  <c r="AX56" i="7" l="1"/>
  <c r="AF57" i="7" s="1"/>
  <c r="W57" i="7"/>
  <c r="BP111" i="7"/>
  <c r="AS46" i="6"/>
  <c r="AS45" i="6"/>
  <c r="AF44" i="6"/>
  <c r="AQ27" i="6"/>
  <c r="AY121" i="6"/>
  <c r="P44" i="6"/>
  <c r="BP112" i="5"/>
  <c r="M44" i="5"/>
  <c r="BJ45" i="1"/>
  <c r="BJ46" i="1"/>
  <c r="BH27" i="1"/>
  <c r="BP112" i="1"/>
  <c r="P44" i="1" s="1"/>
  <c r="AF44" i="1"/>
  <c r="AN44" i="7" l="1"/>
  <c r="M44" i="7"/>
  <c r="BP112" i="7"/>
  <c r="AT45" i="6"/>
  <c r="AT46" i="6"/>
  <c r="AR27" i="6"/>
  <c r="T58" i="6"/>
  <c r="AY122" i="6"/>
  <c r="BJ46" i="5"/>
  <c r="BJ45" i="5"/>
  <c r="AF44" i="5"/>
  <c r="BH27" i="5"/>
  <c r="P44" i="5"/>
  <c r="BP121" i="5"/>
  <c r="BI27" i="1"/>
  <c r="BK46" i="1"/>
  <c r="BK45" i="1"/>
  <c r="BP121" i="1"/>
  <c r="T58" i="1" s="1"/>
  <c r="BJ45" i="7" l="1"/>
  <c r="BJ68" i="7" s="1"/>
  <c r="BJ46" i="7"/>
  <c r="BJ69" i="7" s="1"/>
  <c r="AF44" i="7"/>
  <c r="BH27" i="7"/>
  <c r="P44" i="7"/>
  <c r="BP121" i="7"/>
  <c r="AQ44" i="7"/>
  <c r="AY127" i="6"/>
  <c r="W58" i="6"/>
  <c r="AF58" i="6" s="1"/>
  <c r="BK45" i="5"/>
  <c r="BK46" i="5"/>
  <c r="BI27" i="5"/>
  <c r="BP122" i="5"/>
  <c r="T58" i="5"/>
  <c r="BP122" i="1"/>
  <c r="W58" i="1" s="1"/>
  <c r="AF58" i="1" s="1"/>
  <c r="BP122" i="7" l="1"/>
  <c r="T58" i="7"/>
  <c r="AU57" i="7"/>
  <c r="BK45" i="7"/>
  <c r="BK68" i="7" s="1"/>
  <c r="BK46" i="7"/>
  <c r="BK69" i="7" s="1"/>
  <c r="BI27" i="7"/>
  <c r="M45" i="6"/>
  <c r="AY128" i="6"/>
  <c r="BP127" i="5"/>
  <c r="W58" i="5"/>
  <c r="AF58" i="5" s="1"/>
  <c r="BP127" i="1"/>
  <c r="M45" i="1" s="1"/>
  <c r="BP127" i="7" l="1"/>
  <c r="AX57" i="7"/>
  <c r="AF58" i="7" s="1"/>
  <c r="W58" i="7"/>
  <c r="AY137" i="6"/>
  <c r="AY138" i="6" s="1"/>
  <c r="AY143" i="6" s="1"/>
  <c r="AY144" i="6" s="1"/>
  <c r="AY153" i="6" s="1"/>
  <c r="AY154" i="6" s="1"/>
  <c r="AY159" i="6" s="1"/>
  <c r="AY160" i="6" s="1"/>
  <c r="AY169" i="6" s="1"/>
  <c r="AY170" i="6" s="1"/>
  <c r="AY175" i="6" s="1"/>
  <c r="AY176" i="6" s="1"/>
  <c r="P45" i="6"/>
  <c r="AS47" i="6"/>
  <c r="AS48" i="6"/>
  <c r="AS49" i="6" s="1"/>
  <c r="AS50" i="6" s="1"/>
  <c r="AS51" i="6" s="1"/>
  <c r="AS52" i="6" s="1"/>
  <c r="AS53" i="6" s="1"/>
  <c r="AS54" i="6" s="1"/>
  <c r="AF45" i="6"/>
  <c r="AQ28" i="6"/>
  <c r="AQ29" i="6" s="1"/>
  <c r="AQ30" i="6" s="1"/>
  <c r="AQ31" i="6" s="1"/>
  <c r="M45" i="5"/>
  <c r="BP128" i="5"/>
  <c r="BJ48" i="1"/>
  <c r="BJ47" i="1"/>
  <c r="BH28" i="1"/>
  <c r="BP128" i="1"/>
  <c r="P45" i="1" s="1"/>
  <c r="AF45" i="1"/>
  <c r="M45" i="7" l="1"/>
  <c r="BP128" i="7"/>
  <c r="AN45" i="7"/>
  <c r="AT48" i="6"/>
  <c r="AT49" i="6" s="1"/>
  <c r="AT50" i="6" s="1"/>
  <c r="AT51" i="6" s="1"/>
  <c r="AT52" i="6" s="1"/>
  <c r="AT53" i="6" s="1"/>
  <c r="AT54" i="6" s="1"/>
  <c r="AT47" i="6"/>
  <c r="AR28" i="6"/>
  <c r="AR29" i="6" s="1"/>
  <c r="AR30" i="6" s="1"/>
  <c r="AR31" i="6" s="1"/>
  <c r="P45" i="5"/>
  <c r="BP137" i="5"/>
  <c r="BJ48" i="5"/>
  <c r="BJ47" i="5"/>
  <c r="AF45" i="5"/>
  <c r="BH28" i="5"/>
  <c r="BI28" i="1"/>
  <c r="BK48" i="1"/>
  <c r="BK47" i="1"/>
  <c r="BP137" i="1"/>
  <c r="T59" i="1" s="1"/>
  <c r="BP137" i="7" l="1"/>
  <c r="P45" i="7"/>
  <c r="AQ45" i="7"/>
  <c r="BJ47" i="7"/>
  <c r="BJ70" i="7" s="1"/>
  <c r="BJ48" i="7"/>
  <c r="BJ71" i="7" s="1"/>
  <c r="AF45" i="7"/>
  <c r="BH28" i="7"/>
  <c r="BP138" i="5"/>
  <c r="T59" i="5"/>
  <c r="BK48" i="5"/>
  <c r="BK47" i="5"/>
  <c r="BI28" i="5"/>
  <c r="BP138" i="1"/>
  <c r="W59" i="1" s="1"/>
  <c r="AF59" i="1" s="1"/>
  <c r="BK47" i="7" l="1"/>
  <c r="BK70" i="7" s="1"/>
  <c r="BK48" i="7"/>
  <c r="BK71" i="7" s="1"/>
  <c r="BI28" i="7"/>
  <c r="T59" i="7"/>
  <c r="BP138" i="7"/>
  <c r="AU58" i="7"/>
  <c r="W59" i="5"/>
  <c r="AF59" i="5" s="1"/>
  <c r="BP143" i="5"/>
  <c r="BP143" i="1"/>
  <c r="M46" i="1" s="1"/>
  <c r="W59" i="7" l="1"/>
  <c r="AX58" i="7"/>
  <c r="AF59" i="7" s="1"/>
  <c r="BP143" i="7"/>
  <c r="M46" i="5"/>
  <c r="BP144" i="5"/>
  <c r="BJ50" i="1"/>
  <c r="BJ49" i="1"/>
  <c r="BH29" i="1"/>
  <c r="BP144" i="1"/>
  <c r="P46" i="1" s="1"/>
  <c r="AF46" i="1"/>
  <c r="M46" i="7" l="1"/>
  <c r="AN46" i="7"/>
  <c r="BP144" i="7"/>
  <c r="P46" i="5"/>
  <c r="BP153" i="5"/>
  <c r="BJ49" i="5"/>
  <c r="BJ50" i="5"/>
  <c r="AF46" i="5"/>
  <c r="BH29" i="5"/>
  <c r="BK50" i="1"/>
  <c r="BK49" i="1"/>
  <c r="BI29" i="1"/>
  <c r="BP153" i="1"/>
  <c r="T60" i="1" s="1"/>
  <c r="BP153" i="7" l="1"/>
  <c r="P46" i="7"/>
  <c r="AQ46" i="7"/>
  <c r="BJ49" i="7"/>
  <c r="BJ72" i="7" s="1"/>
  <c r="BJ50" i="7"/>
  <c r="BJ73" i="7" s="1"/>
  <c r="AF46" i="7"/>
  <c r="BH29" i="7"/>
  <c r="T60" i="5"/>
  <c r="BP154" i="5"/>
  <c r="BK49" i="5"/>
  <c r="BK50" i="5"/>
  <c r="BI29" i="5"/>
  <c r="BP154" i="1"/>
  <c r="W60" i="1" s="1"/>
  <c r="AF60" i="1" s="1"/>
  <c r="BK49" i="7" l="1"/>
  <c r="BK72" i="7" s="1"/>
  <c r="BK50" i="7"/>
  <c r="BK73" i="7" s="1"/>
  <c r="BI29" i="7"/>
  <c r="BP154" i="7"/>
  <c r="T60" i="7"/>
  <c r="AU59" i="7"/>
  <c r="W60" i="5"/>
  <c r="AF60" i="5" s="1"/>
  <c r="BP159" i="5"/>
  <c r="BP159" i="1"/>
  <c r="M47" i="1" s="1"/>
  <c r="BP159" i="7" l="1"/>
  <c r="W60" i="7"/>
  <c r="AX59" i="7"/>
  <c r="AF60" i="7" s="1"/>
  <c r="BP160" i="5"/>
  <c r="M47" i="5"/>
  <c r="BH30" i="1"/>
  <c r="BJ51" i="1"/>
  <c r="BJ52" i="1" s="1"/>
  <c r="BP160" i="1"/>
  <c r="P47" i="1" s="1"/>
  <c r="AF47" i="1"/>
  <c r="M47" i="7" l="1"/>
  <c r="BP160" i="7"/>
  <c r="AN47" i="7"/>
  <c r="BJ51" i="5"/>
  <c r="BJ52" i="5"/>
  <c r="AF47" i="5"/>
  <c r="BH30" i="5"/>
  <c r="P47" i="5"/>
  <c r="BP169" i="5"/>
  <c r="BI30" i="1"/>
  <c r="BK51" i="1"/>
  <c r="BK52" i="1" s="1"/>
  <c r="BP169" i="1"/>
  <c r="T61" i="1" s="1"/>
  <c r="BJ51" i="7" l="1"/>
  <c r="BJ74" i="7" s="1"/>
  <c r="BJ52" i="7"/>
  <c r="BJ75" i="7" s="1"/>
  <c r="AF47" i="7"/>
  <c r="BH30" i="7"/>
  <c r="BP169" i="7"/>
  <c r="AQ47" i="7"/>
  <c r="P47" i="7"/>
  <c r="BP170" i="5"/>
  <c r="T61" i="5"/>
  <c r="BK52" i="5"/>
  <c r="BK51" i="5"/>
  <c r="BI30" i="5"/>
  <c r="BP170" i="1"/>
  <c r="W61" i="1" s="1"/>
  <c r="AF61" i="1" s="1"/>
  <c r="T61" i="7" l="1"/>
  <c r="BP170" i="7"/>
  <c r="AU60" i="7"/>
  <c r="BK51" i="7"/>
  <c r="BK74" i="7" s="1"/>
  <c r="BK52" i="7"/>
  <c r="BK75" i="7" s="1"/>
  <c r="BI30" i="7"/>
  <c r="W61" i="5"/>
  <c r="AF61" i="5" s="1"/>
  <c r="BP175" i="5"/>
  <c r="BP175" i="1"/>
  <c r="M48" i="1" s="1"/>
  <c r="W61" i="7" l="1"/>
  <c r="BP175" i="7"/>
  <c r="AX60" i="7"/>
  <c r="AF61" i="7" s="1"/>
  <c r="M48" i="5"/>
  <c r="BP176" i="5"/>
  <c r="P48" i="5" s="1"/>
  <c r="BH31" i="1"/>
  <c r="BJ53" i="1"/>
  <c r="BJ54" i="1" s="1"/>
  <c r="AF48" i="1"/>
  <c r="BP176" i="1"/>
  <c r="P48" i="1" s="1"/>
  <c r="M48" i="7" l="1"/>
  <c r="BP176" i="7"/>
  <c r="AN48" i="7"/>
  <c r="BK53" i="5"/>
  <c r="BK54" i="5"/>
  <c r="BI31" i="5"/>
  <c r="BJ53" i="5"/>
  <c r="BJ54" i="5"/>
  <c r="AF48" i="5"/>
  <c r="BH31" i="5"/>
  <c r="BI31" i="1"/>
  <c r="BK53" i="1"/>
  <c r="BK54" i="1"/>
  <c r="BJ53" i="7" l="1"/>
  <c r="BJ76" i="7" s="1"/>
  <c r="BJ54" i="7"/>
  <c r="BJ77" i="7" s="1"/>
  <c r="AF48" i="7"/>
  <c r="BH31" i="7"/>
  <c r="P48" i="7"/>
  <c r="AQ48" i="7"/>
  <c r="BK53" i="7" l="1"/>
  <c r="BK76" i="7" s="1"/>
  <c r="BK54" i="7"/>
  <c r="BK77" i="7" s="1"/>
  <c r="BI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Webster</author>
  </authors>
  <commentList>
    <comment ref="G21" authorId="0" shapeId="0" xr:uid="{DFB6D6DC-D922-46C7-9424-EFF5BC76A3A7}">
      <text>
        <r>
          <rPr>
            <b/>
            <sz val="9"/>
            <color indexed="81"/>
            <rFont val="Tahoma"/>
            <family val="2"/>
          </rPr>
          <t xml:space="preserve">Internal Pipe Diameter (m)
</t>
        </r>
      </text>
    </comment>
    <comment ref="I21" authorId="0" shapeId="0" xr:uid="{82B625D8-9C5D-47D1-ACF1-6B1BCC844EB7}">
      <text>
        <r>
          <rPr>
            <b/>
            <sz val="9"/>
            <color indexed="81"/>
            <rFont val="Tahoma"/>
            <family val="2"/>
          </rPr>
          <t>Length of Pipe Run (m)</t>
        </r>
      </text>
    </comment>
    <comment ref="K21" authorId="0" shapeId="0" xr:uid="{658F0A5A-2712-4E6B-80B1-98022B07DBAC}">
      <text>
        <r>
          <rPr>
            <b/>
            <sz val="9"/>
            <color indexed="81"/>
            <rFont val="Tahoma"/>
            <family val="2"/>
          </rPr>
          <t>Design Flow (m</t>
        </r>
        <r>
          <rPr>
            <b/>
            <vertAlign val="superscript"/>
            <sz val="9"/>
            <color indexed="81"/>
            <rFont val="Tahoma"/>
            <family val="2"/>
          </rPr>
          <t>3</t>
        </r>
        <r>
          <rPr>
            <b/>
            <sz val="9"/>
            <color indexed="81"/>
            <rFont val="Tahoma"/>
            <family val="2"/>
          </rPr>
          <t>/s)</t>
        </r>
      </text>
    </comment>
    <comment ref="M21" authorId="0" shapeId="0" xr:uid="{159217F1-A3C2-4BEB-8FE9-EDC8878AF56B}">
      <text>
        <r>
          <rPr>
            <b/>
            <sz val="9"/>
            <color indexed="81"/>
            <rFont val="Tahoma"/>
            <family val="2"/>
          </rPr>
          <t xml:space="preserve">Linear Measure of Roughness (mm)
</t>
        </r>
        <r>
          <rPr>
            <sz val="9"/>
            <color indexed="81"/>
            <rFont val="Tahoma"/>
            <family val="2"/>
          </rPr>
          <t>This factor decribes the roughness of the pipe internals.
This can be affected by many factors such as age, condition, type of flow etc. Generally for drainage design values of 0.6mm and 1.5mm are used for surface water and foul water drains respectively.</t>
        </r>
      </text>
    </comment>
    <comment ref="O21" authorId="0" shapeId="0" xr:uid="{E5ADFA86-02C5-4B33-BC47-ACAE5B164F5C}">
      <text>
        <r>
          <rPr>
            <b/>
            <sz val="9"/>
            <color indexed="81"/>
            <rFont val="Tahoma"/>
            <family val="2"/>
          </rPr>
          <t xml:space="preserve">Grade of Pipe (%)
</t>
        </r>
      </text>
    </comment>
    <comment ref="Q21" authorId="0" shapeId="0" xr:uid="{78A9BDA4-25D4-493C-920D-DC9AF8D1C1B1}">
      <text>
        <r>
          <rPr>
            <b/>
            <sz val="9"/>
            <color indexed="81"/>
            <rFont val="Tahoma"/>
            <family val="2"/>
          </rPr>
          <t>Ground Level (m)</t>
        </r>
      </text>
    </comment>
    <comment ref="T21" authorId="0" shapeId="0" xr:uid="{40ACF8BE-3EDF-49EA-A79B-68EDEE9C231A}">
      <text>
        <r>
          <rPr>
            <b/>
            <sz val="9"/>
            <color indexed="81"/>
            <rFont val="Tahoma"/>
            <family val="2"/>
          </rPr>
          <t>Drop through Structure (m)</t>
        </r>
      </text>
    </comment>
    <comment ref="AF21" authorId="0" shapeId="0" xr:uid="{B0A8F996-A17C-41ED-979B-9BBB8CBB18FF}">
      <text>
        <r>
          <rPr>
            <b/>
            <sz val="9"/>
            <color indexed="81"/>
            <rFont val="Tahoma"/>
            <family val="2"/>
          </rPr>
          <t xml:space="preserve">Structure Loss Coefficient
</t>
        </r>
      </text>
    </comment>
    <comment ref="K36" authorId="0" shapeId="0" xr:uid="{09AA03DB-0251-45B5-BDF4-808570D7D9EC}">
      <text>
        <r>
          <rPr>
            <b/>
            <sz val="9"/>
            <color indexed="81"/>
            <rFont val="Tahoma"/>
            <family val="2"/>
          </rPr>
          <t xml:space="preserve">Head Loss through Structure (m)
</t>
        </r>
      </text>
    </comment>
    <comment ref="M36" authorId="0" shapeId="0" xr:uid="{D7AA7F0D-6508-4C75-B9A4-5D17260CA078}">
      <text>
        <r>
          <rPr>
            <b/>
            <sz val="9"/>
            <color indexed="81"/>
            <rFont val="Tahoma"/>
            <family val="2"/>
          </rPr>
          <t>Hydraulic Grade Line Upstream of Structure (m)</t>
        </r>
      </text>
    </comment>
    <comment ref="P36" authorId="0" shapeId="0" xr:uid="{A2F67143-5EE3-47AC-A0DC-FD769A0FC796}">
      <text>
        <r>
          <rPr>
            <b/>
            <sz val="9"/>
            <color indexed="81"/>
            <rFont val="Tahoma"/>
            <family val="2"/>
          </rPr>
          <t>Energy Grade Line Upstream of Structure (m)</t>
        </r>
      </text>
    </comment>
    <comment ref="T50" authorId="0" shapeId="0" xr:uid="{0B767B4F-E245-42D4-B8CB-7A7C4BD5D186}">
      <text>
        <r>
          <rPr>
            <b/>
            <sz val="9"/>
            <color indexed="81"/>
            <rFont val="Tahoma"/>
            <family val="2"/>
          </rPr>
          <t>Energy Grade Line Upstream of Structure (m)</t>
        </r>
      </text>
    </comment>
    <comment ref="W50" authorId="0" shapeId="0" xr:uid="{731F7C4D-754A-482E-A6DB-36AC95E7A16F}">
      <text>
        <r>
          <rPr>
            <b/>
            <sz val="9"/>
            <color indexed="81"/>
            <rFont val="Tahoma"/>
            <family val="2"/>
          </rPr>
          <t>Hydraulic Grade Line Upstream of Structure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Stephen Webster</author>
  </authors>
  <commentList>
    <comment ref="G21" authorId="0" shapeId="0" xr:uid="{DFB6D6DC-D922-46C7-9424-EFF5BC76A3A7}">
      <text>
        <r>
          <rPr>
            <b/>
            <sz val="9"/>
            <color indexed="81"/>
            <rFont val="Tahoma"/>
            <family val="2"/>
          </rPr>
          <t xml:space="preserve">Internal Pipe Diameter (m)
</t>
        </r>
      </text>
    </comment>
    <comment ref="I21" authorId="0" shapeId="0" xr:uid="{82B625D8-9C5D-47D1-ACF1-6B1BCC844EB7}">
      <text>
        <r>
          <rPr>
            <b/>
            <sz val="9"/>
            <color indexed="81"/>
            <rFont val="Tahoma"/>
            <family val="2"/>
          </rPr>
          <t>Length of Pipe Run (m)</t>
        </r>
      </text>
    </comment>
    <comment ref="K21" authorId="0" shapeId="0" xr:uid="{658F0A5A-2712-4E6B-80B1-98022B07DBAC}">
      <text>
        <r>
          <rPr>
            <b/>
            <sz val="9"/>
            <color indexed="81"/>
            <rFont val="Tahoma"/>
            <family val="2"/>
          </rPr>
          <t>Design Flow (m</t>
        </r>
        <r>
          <rPr>
            <b/>
            <vertAlign val="superscript"/>
            <sz val="9"/>
            <color indexed="81"/>
            <rFont val="Tahoma"/>
            <family val="2"/>
          </rPr>
          <t>3</t>
        </r>
        <r>
          <rPr>
            <b/>
            <sz val="9"/>
            <color indexed="81"/>
            <rFont val="Tahoma"/>
            <family val="2"/>
          </rPr>
          <t>/s)</t>
        </r>
      </text>
    </comment>
    <comment ref="M21" authorId="0" shapeId="0" xr:uid="{159217F1-A3C2-4BEB-8FE9-EDC8878AF56B}">
      <text>
        <r>
          <rPr>
            <b/>
            <sz val="9"/>
            <color indexed="81"/>
            <rFont val="Tahoma"/>
            <family val="2"/>
          </rPr>
          <t xml:space="preserve">Linear Measure of Roughness (mm)
</t>
        </r>
        <r>
          <rPr>
            <sz val="9"/>
            <color indexed="81"/>
            <rFont val="Tahoma"/>
            <family val="2"/>
          </rPr>
          <t>This factor decribes the roughness of the pipe internals.
This can be affected by many factors such as age, condition, type of flow etc. Generally for drainage design values of 0.6mm and 1.5mm are used for surface water and foul water drains respectively.</t>
        </r>
      </text>
    </comment>
    <comment ref="O21" authorId="0" shapeId="0" xr:uid="{E5ADFA86-02C5-4B33-BC47-ACAE5B164F5C}">
      <text>
        <r>
          <rPr>
            <b/>
            <sz val="9"/>
            <color indexed="81"/>
            <rFont val="Tahoma"/>
            <family val="2"/>
          </rPr>
          <t xml:space="preserve">Grade of Pipe (%)
</t>
        </r>
      </text>
    </comment>
    <comment ref="Q21" authorId="0" shapeId="0" xr:uid="{78A9BDA4-25D4-493C-920D-DC9AF8D1C1B1}">
      <text>
        <r>
          <rPr>
            <b/>
            <sz val="9"/>
            <color indexed="81"/>
            <rFont val="Tahoma"/>
            <family val="2"/>
          </rPr>
          <t>Ground Level (m)</t>
        </r>
      </text>
    </comment>
    <comment ref="T21" authorId="0" shapeId="0" xr:uid="{40ACF8BE-3EDF-49EA-A79B-68EDEE9C231A}">
      <text>
        <r>
          <rPr>
            <b/>
            <sz val="9"/>
            <color indexed="81"/>
            <rFont val="Tahoma"/>
            <family val="2"/>
          </rPr>
          <t>Drop through Structure (m)</t>
        </r>
      </text>
    </comment>
    <comment ref="AF21" authorId="0" shapeId="0" xr:uid="{B0A8F996-A17C-41ED-979B-9BBB8CBB18FF}">
      <text>
        <r>
          <rPr>
            <b/>
            <sz val="9"/>
            <color indexed="81"/>
            <rFont val="Tahoma"/>
            <family val="2"/>
          </rPr>
          <t xml:space="preserve">Structure Loss Coefficient
</t>
        </r>
      </text>
    </comment>
    <comment ref="K36" authorId="0" shapeId="0" xr:uid="{09AA03DB-0251-45B5-BDF4-808570D7D9EC}">
      <text>
        <r>
          <rPr>
            <b/>
            <sz val="9"/>
            <color indexed="81"/>
            <rFont val="Tahoma"/>
            <family val="2"/>
          </rPr>
          <t xml:space="preserve">Head Loss through Structure (m)
</t>
        </r>
      </text>
    </comment>
    <comment ref="M36" authorId="0" shapeId="0" xr:uid="{D7AA7F0D-6508-4C75-B9A4-5D17260CA078}">
      <text>
        <r>
          <rPr>
            <b/>
            <sz val="9"/>
            <color indexed="81"/>
            <rFont val="Tahoma"/>
            <family val="2"/>
          </rPr>
          <t>Hydraulic Grade Line Upstream of Structure (m)</t>
        </r>
      </text>
    </comment>
    <comment ref="P36" authorId="0" shapeId="0" xr:uid="{A2F67143-5EE3-47AC-A0DC-FD769A0FC796}">
      <text>
        <r>
          <rPr>
            <b/>
            <sz val="9"/>
            <color indexed="81"/>
            <rFont val="Tahoma"/>
            <family val="2"/>
          </rPr>
          <t>Energy Grade Line Upstream of Structure (m)</t>
        </r>
      </text>
    </comment>
    <comment ref="T50" authorId="0" shapeId="0" xr:uid="{0B767B4F-E245-42D4-B8CB-7A7C4BD5D186}">
      <text>
        <r>
          <rPr>
            <b/>
            <sz val="9"/>
            <color indexed="81"/>
            <rFont val="Tahoma"/>
            <family val="2"/>
          </rPr>
          <t>Energy Grade Line Upstream of Structure (m)</t>
        </r>
      </text>
    </comment>
    <comment ref="W50" authorId="0" shapeId="0" xr:uid="{731F7C4D-754A-482E-A6DB-36AC95E7A16F}">
      <text>
        <r>
          <rPr>
            <b/>
            <sz val="9"/>
            <color indexed="81"/>
            <rFont val="Tahoma"/>
            <family val="2"/>
          </rPr>
          <t>Hydraulic Grade Line Upstream of Structure (m)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Stephen Webster</author>
  </authors>
  <commentList>
    <comment ref="G21" authorId="0" shapeId="0" xr:uid="{DFB6D6DC-D922-46C7-9424-EFF5BC76A3A7}">
      <text>
        <r>
          <rPr>
            <b/>
            <sz val="9"/>
            <color indexed="81"/>
            <rFont val="Tahoma"/>
            <family val="2"/>
          </rPr>
          <t xml:space="preserve">Internal Pipe Diameter (m)
</t>
        </r>
      </text>
    </comment>
    <comment ref="I21" authorId="0" shapeId="0" xr:uid="{82B625D8-9C5D-47D1-ACF1-6B1BCC844EB7}">
      <text>
        <r>
          <rPr>
            <b/>
            <sz val="9"/>
            <color indexed="81"/>
            <rFont val="Tahoma"/>
            <family val="2"/>
          </rPr>
          <t>Length of Pipe Run (m)</t>
        </r>
      </text>
    </comment>
    <comment ref="K21" authorId="0" shapeId="0" xr:uid="{658F0A5A-2712-4E6B-80B1-98022B07DBAC}">
      <text>
        <r>
          <rPr>
            <b/>
            <sz val="9"/>
            <color indexed="81"/>
            <rFont val="Tahoma"/>
            <family val="2"/>
          </rPr>
          <t>Design Flow (m</t>
        </r>
        <r>
          <rPr>
            <b/>
            <vertAlign val="superscript"/>
            <sz val="9"/>
            <color indexed="81"/>
            <rFont val="Tahoma"/>
            <family val="2"/>
          </rPr>
          <t>3</t>
        </r>
        <r>
          <rPr>
            <b/>
            <sz val="9"/>
            <color indexed="81"/>
            <rFont val="Tahoma"/>
            <family val="2"/>
          </rPr>
          <t>/s)</t>
        </r>
      </text>
    </comment>
    <comment ref="M21" authorId="0" shapeId="0" xr:uid="{159217F1-A3C2-4BEB-8FE9-EDC8878AF56B}">
      <text>
        <r>
          <rPr>
            <b/>
            <sz val="9"/>
            <color indexed="81"/>
            <rFont val="Tahoma"/>
            <family val="2"/>
          </rPr>
          <t xml:space="preserve">Linear Measure of Roughness (mm)
</t>
        </r>
        <r>
          <rPr>
            <sz val="9"/>
            <color indexed="81"/>
            <rFont val="Tahoma"/>
            <family val="2"/>
          </rPr>
          <t>This factor decribes the roughness of the pipe internals.
This can be affected by many factors such as age, condition, type of flow etc. Generally for drainage design values of 0.6mm and 1.5mm are used for surface water and foul water drains respectively.</t>
        </r>
      </text>
    </comment>
    <comment ref="O21" authorId="0" shapeId="0" xr:uid="{E5ADFA86-02C5-4B33-BC47-ACAE5B164F5C}">
      <text>
        <r>
          <rPr>
            <b/>
            <sz val="9"/>
            <color indexed="81"/>
            <rFont val="Tahoma"/>
            <family val="2"/>
          </rPr>
          <t xml:space="preserve">Grade of Pipe (%)
</t>
        </r>
      </text>
    </comment>
    <comment ref="Q21" authorId="0" shapeId="0" xr:uid="{78A9BDA4-25D4-493C-920D-DC9AF8D1C1B1}">
      <text>
        <r>
          <rPr>
            <b/>
            <sz val="9"/>
            <color indexed="81"/>
            <rFont val="Tahoma"/>
            <family val="2"/>
          </rPr>
          <t>Ground Level (m)</t>
        </r>
      </text>
    </comment>
    <comment ref="T21" authorId="0" shapeId="0" xr:uid="{40ACF8BE-3EDF-49EA-A79B-68EDEE9C231A}">
      <text>
        <r>
          <rPr>
            <b/>
            <sz val="9"/>
            <color indexed="81"/>
            <rFont val="Tahoma"/>
            <family val="2"/>
          </rPr>
          <t>Drop through Structure (m)</t>
        </r>
      </text>
    </comment>
    <comment ref="AF21" authorId="0" shapeId="0" xr:uid="{B0A8F996-A17C-41ED-979B-9BBB8CBB18FF}">
      <text>
        <r>
          <rPr>
            <b/>
            <sz val="9"/>
            <color indexed="81"/>
            <rFont val="Tahoma"/>
            <family val="2"/>
          </rPr>
          <t xml:space="preserve">Structure Loss Coefficient
</t>
        </r>
      </text>
    </comment>
    <comment ref="K36" authorId="0" shapeId="0" xr:uid="{09AA03DB-0251-45B5-BDF4-808570D7D9EC}">
      <text>
        <r>
          <rPr>
            <b/>
            <sz val="9"/>
            <color indexed="81"/>
            <rFont val="Tahoma"/>
            <family val="2"/>
          </rPr>
          <t xml:space="preserve">Head Loss through Structure (m)
</t>
        </r>
      </text>
    </comment>
    <comment ref="M36" authorId="0" shapeId="0" xr:uid="{D7AA7F0D-6508-4C75-B9A4-5D17260CA078}">
      <text>
        <r>
          <rPr>
            <b/>
            <sz val="9"/>
            <color indexed="81"/>
            <rFont val="Tahoma"/>
            <family val="2"/>
          </rPr>
          <t>Hydraulic Grade Line Upstream of Structure (m)</t>
        </r>
      </text>
    </comment>
    <comment ref="P36" authorId="0" shapeId="0" xr:uid="{A2F67143-5EE3-47AC-A0DC-FD769A0FC796}">
      <text>
        <r>
          <rPr>
            <b/>
            <sz val="9"/>
            <color indexed="81"/>
            <rFont val="Tahoma"/>
            <family val="2"/>
          </rPr>
          <t>Energy Grade Line Upstream of Structure (m)</t>
        </r>
      </text>
    </comment>
    <comment ref="T50" authorId="0" shapeId="0" xr:uid="{0B767B4F-E245-42D4-B8CB-7A7C4BD5D186}">
      <text>
        <r>
          <rPr>
            <b/>
            <sz val="9"/>
            <color indexed="81"/>
            <rFont val="Tahoma"/>
            <family val="2"/>
          </rPr>
          <t>Energy Grade Line Upstream of Structure (m)</t>
        </r>
      </text>
    </comment>
    <comment ref="W50" authorId="0" shapeId="0" xr:uid="{731F7C4D-754A-482E-A6DB-36AC95E7A16F}">
      <text>
        <r>
          <rPr>
            <b/>
            <sz val="9"/>
            <color indexed="81"/>
            <rFont val="Tahoma"/>
            <family val="2"/>
          </rPr>
          <t>Hydraulic Grade Line Upstream of Structure (m)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 Webster</author>
  </authors>
  <commentList>
    <comment ref="G21" authorId="0" shapeId="0" xr:uid="{DFB6D6DC-D922-46C7-9424-EFF5BC76A3A7}">
      <text>
        <r>
          <rPr>
            <b/>
            <sz val="9"/>
            <color indexed="81"/>
            <rFont val="Tahoma"/>
            <family val="2"/>
          </rPr>
          <t xml:space="preserve">Internal Pipe Diameter (in)
</t>
        </r>
      </text>
    </comment>
    <comment ref="I21" authorId="0" shapeId="0" xr:uid="{82B625D8-9C5D-47D1-ACF1-6B1BCC844EB7}">
      <text>
        <r>
          <rPr>
            <b/>
            <sz val="9"/>
            <color indexed="81"/>
            <rFont val="Tahoma"/>
            <family val="2"/>
          </rPr>
          <t>Length of Pipe Run (ft)</t>
        </r>
      </text>
    </comment>
    <comment ref="K21" authorId="0" shapeId="0" xr:uid="{658F0A5A-2712-4E6B-80B1-98022B07DBAC}">
      <text>
        <r>
          <rPr>
            <b/>
            <sz val="9"/>
            <color indexed="81"/>
            <rFont val="Tahoma"/>
            <family val="2"/>
          </rPr>
          <t>Design Flow (gal/s)</t>
        </r>
      </text>
    </comment>
    <comment ref="M21" authorId="0" shapeId="0" xr:uid="{159217F1-A3C2-4BEB-8FE9-EDC8878AF56B}">
      <text>
        <r>
          <rPr>
            <b/>
            <sz val="9"/>
            <color indexed="81"/>
            <rFont val="Tahoma"/>
            <family val="2"/>
          </rPr>
          <t xml:space="preserve">Linear Measure of Roughness (in)
</t>
        </r>
        <r>
          <rPr>
            <sz val="9"/>
            <color indexed="81"/>
            <rFont val="Tahoma"/>
            <family val="2"/>
          </rPr>
          <t>This factor decribes the roughness of the pipe internals.
This can be affected by many factors such as age, condition, type of flow etc. Generally for drainage design values of 0.6mm and 1.5mm are used for surface water and foul water drains respectively.</t>
        </r>
      </text>
    </comment>
    <comment ref="O21" authorId="0" shapeId="0" xr:uid="{E5ADFA86-02C5-4B33-BC47-ACAE5B164F5C}">
      <text>
        <r>
          <rPr>
            <b/>
            <sz val="9"/>
            <color indexed="81"/>
            <rFont val="Tahoma"/>
            <family val="2"/>
          </rPr>
          <t xml:space="preserve">Grade of Pipe (%)
</t>
        </r>
      </text>
    </comment>
    <comment ref="Q21" authorId="0" shapeId="0" xr:uid="{78A9BDA4-25D4-493C-920D-DC9AF8D1C1B1}">
      <text>
        <r>
          <rPr>
            <b/>
            <sz val="9"/>
            <color indexed="81"/>
            <rFont val="Tahoma"/>
            <family val="2"/>
          </rPr>
          <t>Ground Level (ft)</t>
        </r>
      </text>
    </comment>
    <comment ref="T21" authorId="0" shapeId="0" xr:uid="{40ACF8BE-3EDF-49EA-A79B-68EDEE9C231A}">
      <text>
        <r>
          <rPr>
            <b/>
            <sz val="9"/>
            <color indexed="81"/>
            <rFont val="Tahoma"/>
            <family val="2"/>
          </rPr>
          <t>Drop through Structure (ft)</t>
        </r>
      </text>
    </comment>
    <comment ref="AF21" authorId="0" shapeId="0" xr:uid="{B0A8F996-A17C-41ED-979B-9BBB8CBB18FF}">
      <text>
        <r>
          <rPr>
            <b/>
            <sz val="9"/>
            <color indexed="81"/>
            <rFont val="Tahoma"/>
            <family val="2"/>
          </rPr>
          <t xml:space="preserve">Structure Loss Coefficient
</t>
        </r>
      </text>
    </comment>
    <comment ref="K36" authorId="0" shapeId="0" xr:uid="{09AA03DB-0251-45B5-BDF4-808570D7D9EC}">
      <text>
        <r>
          <rPr>
            <b/>
            <sz val="9"/>
            <color indexed="81"/>
            <rFont val="Tahoma"/>
            <family val="2"/>
          </rPr>
          <t xml:space="preserve">Head Loss through Structure (m)
</t>
        </r>
      </text>
    </comment>
    <comment ref="M36" authorId="0" shapeId="0" xr:uid="{D7AA7F0D-6508-4C75-B9A4-5D17260CA078}">
      <text>
        <r>
          <rPr>
            <b/>
            <sz val="9"/>
            <color indexed="81"/>
            <rFont val="Tahoma"/>
            <family val="2"/>
          </rPr>
          <t>Hydraulic Grade Line Upstream of Structure (m)</t>
        </r>
      </text>
    </comment>
    <comment ref="P36" authorId="0" shapeId="0" xr:uid="{A2F67143-5EE3-47AC-A0DC-FD769A0FC796}">
      <text>
        <r>
          <rPr>
            <b/>
            <sz val="9"/>
            <color indexed="81"/>
            <rFont val="Tahoma"/>
            <family val="2"/>
          </rPr>
          <t>Energy Grade Line Upstream of Structure (m)</t>
        </r>
      </text>
    </comment>
    <comment ref="T50" authorId="0" shapeId="0" xr:uid="{0B767B4F-E245-42D4-B8CB-7A7C4BD5D186}">
      <text>
        <r>
          <rPr>
            <b/>
            <sz val="9"/>
            <color indexed="81"/>
            <rFont val="Tahoma"/>
            <family val="2"/>
          </rPr>
          <t>Energy Grade Line Upstream of Structure (ft)</t>
        </r>
      </text>
    </comment>
    <comment ref="W50" authorId="0" shapeId="0" xr:uid="{731F7C4D-754A-482E-A6DB-36AC95E7A16F}">
      <text>
        <r>
          <rPr>
            <b/>
            <sz val="9"/>
            <color indexed="81"/>
            <rFont val="Tahoma"/>
            <family val="2"/>
          </rPr>
          <t>Hydraulic Grade Line Upstream of Structure (ft)</t>
        </r>
      </text>
    </comment>
  </commentList>
</comments>
</file>

<file path=xl/sharedStrings.xml><?xml version="1.0" encoding="utf-8"?>
<sst xmlns="http://schemas.openxmlformats.org/spreadsheetml/2006/main" count="2939" uniqueCount="238">
  <si>
    <t>Your Logo / Company Details Here</t>
  </si>
  <si>
    <t>Project:</t>
  </si>
  <si>
    <t>By:</t>
  </si>
  <si>
    <t>Calculation:</t>
  </si>
  <si>
    <t>Approved:</t>
  </si>
  <si>
    <t>Sheet Number:</t>
  </si>
  <si>
    <t>Date:</t>
  </si>
  <si>
    <t>Registered User:</t>
  </si>
  <si>
    <t>Cover Sheet</t>
  </si>
  <si>
    <t>Although all care and attention has been taken to ensure that this program is accurate, CivilWeb gives no guarentee that it is error free. In no event will Civil Web accept any responsibility for any errors or omissions from the program or from the user of the program, or for any special, incedental or consequential damages whatsoever arising from use of this program.</t>
  </si>
  <si>
    <t>This program should only be used by a suitably qualified Civil or Structural Engineer, and suitable efforts should be taken to verify the results.</t>
  </si>
  <si>
    <t>Reverse-engineering or decompiling of this program is not allowed.</t>
  </si>
  <si>
    <t>This program is registered to a single user, and should not be used by any other.</t>
  </si>
  <si>
    <t>Registered User;</t>
  </si>
  <si>
    <t>By using this program you confirm your understanding and agreement with the above terms and conditions.</t>
  </si>
  <si>
    <t>This program remains the property of CivilWeb.</t>
  </si>
  <si>
    <t>www.civilweb-spreadsheets.com</t>
  </si>
  <si>
    <t>Revision Schedule</t>
  </si>
  <si>
    <t>Rev</t>
  </si>
  <si>
    <t>Changes</t>
  </si>
  <si>
    <t>Date</t>
  </si>
  <si>
    <t>Original</t>
  </si>
  <si>
    <t>Pipe Hydraulic Gradient Analysis</t>
  </si>
  <si>
    <t>© 2026 CivilWeb</t>
  </si>
  <si>
    <t>Drainage System Details</t>
  </si>
  <si>
    <t>UK Structure Losses</t>
  </si>
  <si>
    <t>Tailwater Level</t>
  </si>
  <si>
    <t>Hds</t>
  </si>
  <si>
    <r>
      <t>H</t>
    </r>
    <r>
      <rPr>
        <vertAlign val="subscript"/>
        <sz val="10"/>
        <color theme="1"/>
        <rFont val="Arial "/>
      </rPr>
      <t>ds</t>
    </r>
  </si>
  <si>
    <t>m</t>
  </si>
  <si>
    <t>Upstream Water Level</t>
  </si>
  <si>
    <r>
      <t>H</t>
    </r>
    <r>
      <rPr>
        <vertAlign val="subscript"/>
        <sz val="10"/>
        <color theme="1"/>
        <rFont val="Arial "/>
      </rPr>
      <t>us</t>
    </r>
  </si>
  <si>
    <r>
      <t>h</t>
    </r>
    <r>
      <rPr>
        <vertAlign val="subscript"/>
        <sz val="10"/>
        <color theme="1"/>
        <rFont val="Arial "/>
      </rPr>
      <t>free</t>
    </r>
  </si>
  <si>
    <t>Minimum Freeboard</t>
  </si>
  <si>
    <t>Flow Beyond Outlet</t>
  </si>
  <si>
    <r>
      <t>V</t>
    </r>
    <r>
      <rPr>
        <vertAlign val="subscript"/>
        <sz val="10"/>
        <color theme="1"/>
        <rFont val="Arial "/>
      </rPr>
      <t>out</t>
    </r>
  </si>
  <si>
    <t>Drainage System Components</t>
  </si>
  <si>
    <t>No.</t>
  </si>
  <si>
    <t>Pipe Dia</t>
  </si>
  <si>
    <t>Pipe Length</t>
  </si>
  <si>
    <t>Design Flow</t>
  </si>
  <si>
    <t>Roughness</t>
  </si>
  <si>
    <t>Pipe Grade</t>
  </si>
  <si>
    <t>Ground Level</t>
  </si>
  <si>
    <t>Drop</t>
  </si>
  <si>
    <t>Manhole</t>
  </si>
  <si>
    <t>Entry Flush with Sharp Edge</t>
  </si>
  <si>
    <t>90 Degree Bend</t>
  </si>
  <si>
    <t>45 Degree Bend</t>
  </si>
  <si>
    <t>22.5 Degree Bend</t>
  </si>
  <si>
    <t>11.25 Degree Bend</t>
  </si>
  <si>
    <t>Tee Flow in Line</t>
  </si>
  <si>
    <t>Tee Flow in Line &amp; Branch Sharp Edged</t>
  </si>
  <si>
    <t>Tee Flow in Line &amp; Branch Radiused</t>
  </si>
  <si>
    <t>Branch with Flow in Line</t>
  </si>
  <si>
    <t>Branch with Flow from Branch into Line</t>
  </si>
  <si>
    <t>Branch with Flow from Line into Branch</t>
  </si>
  <si>
    <t>Inlet</t>
  </si>
  <si>
    <t>Other</t>
  </si>
  <si>
    <t>Loss Coef</t>
  </si>
  <si>
    <t>Gate Open</t>
  </si>
  <si>
    <t>Gate Half Open</t>
  </si>
  <si>
    <t>Exit</t>
  </si>
  <si>
    <t>Upstream Structure Type</t>
  </si>
  <si>
    <t>mm</t>
  </si>
  <si>
    <t>Downstream Structure Type</t>
  </si>
  <si>
    <t>Structure Loss Coefficient</t>
  </si>
  <si>
    <t>Downstream Invert Level</t>
  </si>
  <si>
    <t>Exit or Sudden Enlargement</t>
  </si>
  <si>
    <t>Pipe 1</t>
  </si>
  <si>
    <t>Internal diameter;</t>
  </si>
  <si>
    <t>Internal area;</t>
  </si>
  <si>
    <t>Length;</t>
  </si>
  <si>
    <t>Gradient;</t>
  </si>
  <si>
    <t>Flow;</t>
  </si>
  <si>
    <t>Velocity of fluid;</t>
  </si>
  <si>
    <t>Invert level (downstream);</t>
  </si>
  <si>
    <t>Invert level (upstream);</t>
  </si>
  <si>
    <t>m2</t>
  </si>
  <si>
    <t>m3/s</t>
  </si>
  <si>
    <t>%</t>
  </si>
  <si>
    <t>m/s</t>
  </si>
  <si>
    <t>D</t>
  </si>
  <si>
    <t>A</t>
  </si>
  <si>
    <t>L</t>
  </si>
  <si>
    <t>S</t>
  </si>
  <si>
    <t>Q</t>
  </si>
  <si>
    <t>V</t>
  </si>
  <si>
    <t>Hin</t>
  </si>
  <si>
    <t>Hout</t>
  </si>
  <si>
    <t>Pipe 2</t>
  </si>
  <si>
    <t>Pipe 3</t>
  </si>
  <si>
    <t>Pipe 4</t>
  </si>
  <si>
    <t>Pipe 5</t>
  </si>
  <si>
    <t>Pipe 6</t>
  </si>
  <si>
    <t>Pipe 8</t>
  </si>
  <si>
    <t>Pipe 7</t>
  </si>
  <si>
    <t>Pipe 9</t>
  </si>
  <si>
    <t>Pipe 10</t>
  </si>
  <si>
    <t>Tailwater level;</t>
  </si>
  <si>
    <t>Upstream water level;</t>
  </si>
  <si>
    <t>Freeboard;</t>
  </si>
  <si>
    <t>Velocity beyond outlet ;</t>
  </si>
  <si>
    <t>Boundary Conditions</t>
  </si>
  <si>
    <t>Hus</t>
  </si>
  <si>
    <t>hfree</t>
  </si>
  <si>
    <t>Vout</t>
  </si>
  <si>
    <t>Hydraulic grade line – downstream of structure 1;</t>
  </si>
  <si>
    <t>HGLds_1 = Hds = 12.95 m</t>
  </si>
  <si>
    <t>Energy grade line – downstream of structure 1;</t>
  </si>
  <si>
    <t>EGLds_1 = HGLds_1 + (Vout2 / (2 ´ gacc)) = 12.95 m</t>
  </si>
  <si>
    <t>Downstream of Structure 1</t>
  </si>
  <si>
    <t>Local Headloss - Structure 1</t>
  </si>
  <si>
    <t>Loss Coefficient</t>
  </si>
  <si>
    <t>Head Loss Through Structure</t>
  </si>
  <si>
    <t>ke</t>
  </si>
  <si>
    <t>he</t>
  </si>
  <si>
    <t>HGL - Upstream of Structure 1</t>
  </si>
  <si>
    <t>HGLus</t>
  </si>
  <si>
    <t>EGL</t>
  </si>
  <si>
    <t>EGL - Upstream of Structure 1</t>
  </si>
  <si>
    <t>EGLus</t>
  </si>
  <si>
    <t>Friction Headloss</t>
  </si>
  <si>
    <t>Effective roughness;</t>
  </si>
  <si>
    <t>ks_1 = 0.6 mm</t>
  </si>
  <si>
    <t>Kinematic viscocity of fluid;</t>
  </si>
  <si>
    <t>n = 1.31´10-6 m2/s</t>
  </si>
  <si>
    <t>Reynolds number;</t>
  </si>
  <si>
    <t>Re = (V1 ´ DI_1) / n = 1214923</t>
  </si>
  <si>
    <t>Friction factor;</t>
  </si>
  <si>
    <t>l = (1 / (-2 ´ log((ks_1 /(3.7´DI_1)) + (5.1286 / Re0.89))))2  = 0.020</t>
  </si>
  <si>
    <t>Hydraulic Gradient;</t>
  </si>
  <si>
    <t xml:space="preserve">Sf = l ´ V12 / (2 ´ gacc ´ DI_1) = 0.0119 </t>
  </si>
  <si>
    <t xml:space="preserve">Friction headloss; </t>
  </si>
  <si>
    <t>hf_1 = Sf ´ L1 = 1.04 m</t>
  </si>
  <si>
    <t>Energy grade line – downstream of structure 2;</t>
  </si>
  <si>
    <t>EGLds_2 = EGLus_1 + hf_1 = 14.35 m</t>
  </si>
  <si>
    <t>Hydraulic grade line – downstream of structure 2;</t>
  </si>
  <si>
    <t>HGLds_2 = EGLds_2 - V12 / (2 ´ gacc) = 13.99 m</t>
  </si>
  <si>
    <t>m2/s</t>
  </si>
  <si>
    <t>Friction Headloss Pipe 1</t>
  </si>
  <si>
    <t>Local Headloss - Structure 2</t>
  </si>
  <si>
    <t>Friction Headloss Pipe 2</t>
  </si>
  <si>
    <t>Local Headloss - Structure 3</t>
  </si>
  <si>
    <t>Friction Headloss Pipe 3</t>
  </si>
  <si>
    <t>Local Headloss - Structure 4</t>
  </si>
  <si>
    <t>Friction Headloss Pipe 4</t>
  </si>
  <si>
    <t>Local Headloss - Structure 5</t>
  </si>
  <si>
    <t>Friction Headloss Pipe 5</t>
  </si>
  <si>
    <t>Local Headloss - Structure 6</t>
  </si>
  <si>
    <t>Friction Headloss Pipe 6</t>
  </si>
  <si>
    <t>Local Headloss - Structure 7</t>
  </si>
  <si>
    <t>Friction Headloss Pipe 7</t>
  </si>
  <si>
    <t>Local Headloss - Structure 8</t>
  </si>
  <si>
    <t>Friction Headloss Pipe 8</t>
  </si>
  <si>
    <t>Local Headloss - Structure 9</t>
  </si>
  <si>
    <t>Friction Headloss Pipe 9</t>
  </si>
  <si>
    <t>Local Headloss - Structure 10</t>
  </si>
  <si>
    <t>Friction Headloss Pipe 10</t>
  </si>
  <si>
    <t>Local Headloss - Structure 11</t>
  </si>
  <si>
    <t>Structure</t>
  </si>
  <si>
    <t>Results</t>
  </si>
  <si>
    <t>Head Loss</t>
  </si>
  <si>
    <t>HGL</t>
  </si>
  <si>
    <t>Pipe</t>
  </si>
  <si>
    <t>Reynolds Number</t>
  </si>
  <si>
    <t>Friction Factor</t>
  </si>
  <si>
    <t>Structure Types</t>
  </si>
  <si>
    <t>Typical Loss Coefficient</t>
  </si>
  <si>
    <t>X</t>
  </si>
  <si>
    <t>Ground</t>
  </si>
  <si>
    <t>Invert</t>
  </si>
  <si>
    <t>Top of Pipe</t>
  </si>
  <si>
    <t>Butterfly Valve</t>
  </si>
  <si>
    <t>Reflux Valve</t>
  </si>
  <si>
    <t>Right Angle Valve</t>
  </si>
  <si>
    <t>Globe Valve</t>
  </si>
  <si>
    <t>Gate Valve - 3/4 Closed</t>
  </si>
  <si>
    <t>Gate Valve - 1/2 Closed</t>
  </si>
  <si>
    <t>Gate Valve - 1/4 Closed</t>
  </si>
  <si>
    <t>Gate Valve - Fully Open</t>
  </si>
  <si>
    <t>BS Tapers - Flow to Large End - Inlet to Outlet dia 1:2</t>
  </si>
  <si>
    <t>BS Tapers - Flow to Large End - Inlet to Outlet dia 3:4</t>
  </si>
  <si>
    <t>BS Tapers - Flow to Large End - Inlet to Outlet dia 4:5</t>
  </si>
  <si>
    <t>BS Tapers - Flow to Small End</t>
  </si>
  <si>
    <t>Sudden Contraction - Inlet to Outlet dia 5:1</t>
  </si>
  <si>
    <t>Sudden Contraction - Inlet to Outlet dia 3:1</t>
  </si>
  <si>
    <t>Sudden Contraction - Inlet to Outlet dia 2:1</t>
  </si>
  <si>
    <t>Sudden Contraction - Inlet to Outlet dia 3:2</t>
  </si>
  <si>
    <t>Sudden Contraction - Inlet to Outlet dia 4:3</t>
  </si>
  <si>
    <t>Sudden Contraction - Inlet to Outlet dia 5:4</t>
  </si>
  <si>
    <t>Sudden Enlargement - Inlet to Outlet dia 1:5</t>
  </si>
  <si>
    <t>Sudden Enlargement - Inlet to Outlet dia 1:3</t>
  </si>
  <si>
    <t>Sudden Enlargement - Inlet to Outlet dia 1:2</t>
  </si>
  <si>
    <t>Sudden Enlargement - Inlet to Outlet dia 2:3</t>
  </si>
  <si>
    <t>Sudden Enlargement - Inlet to Outlet dia 3:4</t>
  </si>
  <si>
    <t>Sudden Enlargement - Inlet to Outlet dia 4:5</t>
  </si>
  <si>
    <t>Angle Branches Branch to Line - 90 Degrees</t>
  </si>
  <si>
    <t>Angle Branches Branch to Line - 45 Degrees</t>
  </si>
  <si>
    <t>Angle Branches Branch to Line - 30 Degrees</t>
  </si>
  <si>
    <t>Angle Branches Line to Branch - 90 Degrees</t>
  </si>
  <si>
    <t>Angle Branches Line to Branch - 45 Degrees</t>
  </si>
  <si>
    <t>Angle Branches Line to Branch - 30 Degrees</t>
  </si>
  <si>
    <t>Angle Branches Flow in Line</t>
  </si>
  <si>
    <t>Tees Branch to Line - Radiused</t>
  </si>
  <si>
    <t>Tees Branch to Line - Sharp Edged</t>
  </si>
  <si>
    <t>Tees Line to Branch - Radiused</t>
  </si>
  <si>
    <t>Tees Line to Branch - Sharp Edged</t>
  </si>
  <si>
    <t>Tees Flow in Line</t>
  </si>
  <si>
    <t>Mitred Elbow - 4 Piece - 90 Degrees</t>
  </si>
  <si>
    <t>Mitred Elbow - 3 Piece - 90 Degrees</t>
  </si>
  <si>
    <t>Mitred Elbow - 2 Piece - 90 Degrees</t>
  </si>
  <si>
    <t>Mitred Elbow - 3 Piece - 60 Degrees</t>
  </si>
  <si>
    <t>Mitred Elbow - 2 Piece - 60 Degrees</t>
  </si>
  <si>
    <t>Elbow - 90 Degrees</t>
  </si>
  <si>
    <t>Mitred Elbow - 2/3 Piece - 45 Degrees</t>
  </si>
  <si>
    <t>Mitred Elbow - 2 Piece - 30 Degrees</t>
  </si>
  <si>
    <t>Mitred Elbow - 2 Piece - 22.5 Degrees</t>
  </si>
  <si>
    <t>Entry - Foot Valve &amp; Strainer</t>
  </si>
  <si>
    <t>Sweep - 90 Degrees</t>
  </si>
  <si>
    <t>Sweep - 45 Degrees</t>
  </si>
  <si>
    <t>Sweep - 22.5 Degrees</t>
  </si>
  <si>
    <t>Long Radiused Bend - 90 Degrees</t>
  </si>
  <si>
    <t>Long Radiused Bend - 45 Degrees</t>
  </si>
  <si>
    <t>Long Radiused Bend - 22.5 Degrees</t>
  </si>
  <si>
    <t>Close Radiused Bend - 90 Degrees</t>
  </si>
  <si>
    <t>Close Radiused Bend - 45 Degrees</t>
  </si>
  <si>
    <t>Close Radiused Bend - 22.5 Degrees</t>
  </si>
  <si>
    <t>Elbow - 45 Degrees</t>
  </si>
  <si>
    <t>Elbow - 22.5 Degrees</t>
  </si>
  <si>
    <t>Entry - Bellmouthed</t>
  </si>
  <si>
    <t>Entry - Slightly Rounded</t>
  </si>
  <si>
    <t>Entry - Re-Entrance</t>
  </si>
  <si>
    <t>Entry - Sharp Edged</t>
  </si>
  <si>
    <t>Hong Kong Structure Losses</t>
  </si>
  <si>
    <t>ft</t>
  </si>
  <si>
    <t>ft/s</t>
  </si>
  <si>
    <t>Free Trial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</si>
</sst>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0.0"/>
  </numFmts>
  <fonts count="25">
    <font>
      <sz val="11"/>
      <color theme="1"/>
      <name val="Calibri"/>
      <family val="2"/>
      <scheme val="minor"/>
    </font>
    <font>
      <sz val="11"/>
      <color theme="1"/>
      <name val="Arial "/>
    </font>
    <font>
      <sz val="10"/>
      <color theme="1"/>
      <name val="Arial "/>
    </font>
    <font>
      <b/>
      <sz val="10"/>
      <color theme="1"/>
      <name val="Arial "/>
    </font>
    <font>
      <b/>
      <sz val="11"/>
      <color theme="1"/>
      <name val="Arial "/>
    </font>
    <font>
      <sz val="11"/>
      <color theme="1"/>
      <name val="Calibri"/>
      <family val="2"/>
      <scheme val="minor"/>
    </font>
    <font>
      <sz val="8"/>
      <color theme="1"/>
      <name val="Arial"/>
      <family val="2"/>
    </font>
    <font>
      <sz val="9"/>
      <color rgb="FFFF0000"/>
      <name val="Arial"/>
      <family val="2"/>
    </font>
    <font>
      <sz val="11"/>
      <color rgb="FFFF0000"/>
      <name val="Calibri"/>
      <family val="2"/>
      <scheme val="minor"/>
    </font>
    <font>
      <u/>
      <sz val="11"/>
      <color theme="10"/>
      <name val="Calibri"/>
      <family val="2"/>
      <scheme val="minor"/>
    </font>
    <font>
      <b/>
      <sz val="11"/>
      <color theme="1"/>
      <name val="Calibri"/>
      <family val="2"/>
      <scheme val="minor"/>
    </font>
    <font>
      <sz val="10"/>
      <name val="Arial CE"/>
      <charset val="238"/>
    </font>
    <font>
      <sz val="11"/>
      <color theme="1"/>
      <name val="Calibri"/>
      <family val="2"/>
      <charset val="238"/>
      <scheme val="minor"/>
    </font>
    <font>
      <b/>
      <u/>
      <sz val="10"/>
      <color theme="1"/>
      <name val="Arial "/>
    </font>
    <font>
      <vertAlign val="subscript"/>
      <sz val="10"/>
      <color theme="1"/>
      <name val="Arial "/>
    </font>
    <font>
      <sz val="9"/>
      <color indexed="81"/>
      <name val="Tahoma"/>
      <family val="2"/>
    </font>
    <font>
      <b/>
      <sz val="9"/>
      <color indexed="81"/>
      <name val="Tahoma"/>
      <family val="2"/>
    </font>
    <font>
      <sz val="8"/>
      <color theme="1"/>
      <name val="Arial "/>
    </font>
    <font>
      <sz val="7"/>
      <color theme="1"/>
      <name val="Arial "/>
    </font>
    <font>
      <sz val="7"/>
      <color theme="1"/>
      <name val="Calibri"/>
      <family val="2"/>
      <scheme val="minor"/>
    </font>
    <font>
      <b/>
      <vertAlign val="superscript"/>
      <sz val="9"/>
      <color indexed="81"/>
      <name val="Tahoma"/>
      <family val="2"/>
    </font>
    <font>
      <sz val="10"/>
      <color theme="1"/>
      <name val="Calibri"/>
      <family val="2"/>
      <scheme val="minor"/>
    </font>
    <font>
      <sz val="11"/>
      <color rgb="FFFF0000"/>
      <name val="Arial "/>
    </font>
    <font>
      <sz val="10"/>
      <color rgb="FF00B050"/>
      <name val="Arial "/>
    </font>
    <font>
      <sz val="11"/>
      <color rgb="FF00B05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69D8FF"/>
        <bgColor indexed="64"/>
      </patternFill>
    </fill>
    <fill>
      <patternFill patternType="solid">
        <fgColor rgb="FFFFFF00"/>
        <bgColor indexed="64"/>
      </patternFill>
    </fill>
    <fill>
      <patternFill patternType="solid">
        <fgColor rgb="FFFF000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thin">
        <color theme="1"/>
      </right>
      <top style="medium">
        <color indexed="64"/>
      </top>
      <bottom/>
      <diagonal/>
    </border>
    <border>
      <left/>
      <right/>
      <top style="medium">
        <color indexed="64"/>
      </top>
      <bottom style="hair">
        <color rgb="FF00B0F0"/>
      </bottom>
      <diagonal/>
    </border>
    <border>
      <left style="hair">
        <color rgb="FF00B0F0"/>
      </left>
      <right/>
      <top style="medium">
        <color indexed="64"/>
      </top>
      <bottom style="hair">
        <color rgb="FF00B0F0"/>
      </bottom>
      <diagonal/>
    </border>
    <border>
      <left/>
      <right style="thin">
        <color theme="1"/>
      </right>
      <top style="medium">
        <color indexed="64"/>
      </top>
      <bottom style="hair">
        <color rgb="FF00B0F0"/>
      </bottom>
      <diagonal/>
    </border>
    <border>
      <left style="thin">
        <color theme="1"/>
      </left>
      <right/>
      <top style="medium">
        <color indexed="64"/>
      </top>
      <bottom style="hair">
        <color rgb="FF00B0F0"/>
      </bottom>
      <diagonal/>
    </border>
    <border>
      <left/>
      <right style="medium">
        <color indexed="64"/>
      </right>
      <top style="medium">
        <color indexed="64"/>
      </top>
      <bottom style="hair">
        <color rgb="FF00B0F0"/>
      </bottom>
      <diagonal/>
    </border>
    <border>
      <left style="medium">
        <color indexed="64"/>
      </left>
      <right/>
      <top/>
      <bottom/>
      <diagonal/>
    </border>
    <border>
      <left/>
      <right style="thin">
        <color theme="1"/>
      </right>
      <top/>
      <bottom/>
      <diagonal/>
    </border>
    <border>
      <left style="thin">
        <color theme="1"/>
      </left>
      <right/>
      <top style="hair">
        <color rgb="FF00B0F0"/>
      </top>
      <bottom style="hair">
        <color rgb="FF00B0F0"/>
      </bottom>
      <diagonal/>
    </border>
    <border>
      <left/>
      <right/>
      <top style="hair">
        <color rgb="FF00B0F0"/>
      </top>
      <bottom style="hair">
        <color rgb="FF00B0F0"/>
      </bottom>
      <diagonal/>
    </border>
    <border>
      <left/>
      <right style="hair">
        <color rgb="FF00B0F0"/>
      </right>
      <top style="hair">
        <color rgb="FF00B0F0"/>
      </top>
      <bottom style="hair">
        <color rgb="FF00B0F0"/>
      </bottom>
      <diagonal/>
    </border>
    <border>
      <left style="hair">
        <color rgb="FF00B0F0"/>
      </left>
      <right/>
      <top style="hair">
        <color rgb="FF00B0F0"/>
      </top>
      <bottom style="hair">
        <color rgb="FF00B0F0"/>
      </bottom>
      <diagonal/>
    </border>
    <border>
      <left/>
      <right style="thin">
        <color theme="1"/>
      </right>
      <top style="hair">
        <color rgb="FF00B0F0"/>
      </top>
      <bottom style="hair">
        <color rgb="FF00B0F0"/>
      </bottom>
      <diagonal/>
    </border>
    <border>
      <left/>
      <right style="medium">
        <color indexed="64"/>
      </right>
      <top style="hair">
        <color rgb="FF00B0F0"/>
      </top>
      <bottom style="hair">
        <color rgb="FF00B0F0"/>
      </bottom>
      <diagonal/>
    </border>
    <border>
      <left style="medium">
        <color indexed="64"/>
      </left>
      <right/>
      <top/>
      <bottom style="medium">
        <color indexed="64"/>
      </bottom>
      <diagonal/>
    </border>
    <border>
      <left/>
      <right/>
      <top/>
      <bottom style="medium">
        <color indexed="64"/>
      </bottom>
      <diagonal/>
    </border>
    <border>
      <left/>
      <right style="thin">
        <color theme="1"/>
      </right>
      <top/>
      <bottom style="medium">
        <color indexed="64"/>
      </bottom>
      <diagonal/>
    </border>
    <border>
      <left/>
      <right/>
      <top style="hair">
        <color rgb="FF00B0F0"/>
      </top>
      <bottom style="medium">
        <color indexed="64"/>
      </bottom>
      <diagonal/>
    </border>
    <border>
      <left/>
      <right style="hair">
        <color rgb="FF00B0F0"/>
      </right>
      <top style="hair">
        <color rgb="FF00B0F0"/>
      </top>
      <bottom style="medium">
        <color indexed="64"/>
      </bottom>
      <diagonal/>
    </border>
    <border>
      <left style="hair">
        <color rgb="FF00B0F0"/>
      </left>
      <right/>
      <top style="hair">
        <color rgb="FF00B0F0"/>
      </top>
      <bottom style="medium">
        <color indexed="64"/>
      </bottom>
      <diagonal/>
    </border>
    <border>
      <left/>
      <right style="thin">
        <color theme="1"/>
      </right>
      <top style="hair">
        <color rgb="FF00B0F0"/>
      </top>
      <bottom style="medium">
        <color indexed="64"/>
      </bottom>
      <diagonal/>
    </border>
    <border>
      <left style="thin">
        <color theme="1"/>
      </left>
      <right/>
      <top style="hair">
        <color rgb="FF00B0F0"/>
      </top>
      <bottom style="medium">
        <color indexed="64"/>
      </bottom>
      <diagonal/>
    </border>
    <border>
      <left/>
      <right style="medium">
        <color indexed="64"/>
      </right>
      <top style="hair">
        <color rgb="FF00B0F0"/>
      </top>
      <bottom style="medium">
        <color indexed="64"/>
      </bottom>
      <diagonal/>
    </border>
    <border>
      <left style="medium">
        <color indexed="64"/>
      </left>
      <right style="hair">
        <color rgb="FF00B0F0"/>
      </right>
      <top/>
      <bottom style="hair">
        <color rgb="FF00B0F0"/>
      </bottom>
      <diagonal/>
    </border>
    <border>
      <left style="hair">
        <color rgb="FF00B0F0"/>
      </left>
      <right style="hair">
        <color rgb="FF00B0F0"/>
      </right>
      <top/>
      <bottom style="hair">
        <color rgb="FF00B0F0"/>
      </bottom>
      <diagonal/>
    </border>
    <border>
      <left style="hair">
        <color rgb="FF00B0F0"/>
      </left>
      <right style="thin">
        <color theme="1"/>
      </right>
      <top/>
      <bottom style="hair">
        <color rgb="FF00B0F0"/>
      </bottom>
      <diagonal/>
    </border>
    <border>
      <left/>
      <right style="hair">
        <color rgb="FF00B0F0"/>
      </right>
      <top/>
      <bottom style="hair">
        <color rgb="FF00B0F0"/>
      </bottom>
      <diagonal/>
    </border>
    <border>
      <left style="hair">
        <color rgb="FF00B0F0"/>
      </left>
      <right/>
      <top/>
      <bottom style="hair">
        <color rgb="FF00B0F0"/>
      </bottom>
      <diagonal/>
    </border>
    <border>
      <left style="thin">
        <color theme="1"/>
      </left>
      <right style="hair">
        <color rgb="FF00B0F0"/>
      </right>
      <top/>
      <bottom style="hair">
        <color rgb="FF00B0F0"/>
      </bottom>
      <diagonal/>
    </border>
    <border>
      <left style="hair">
        <color rgb="FF00B0F0"/>
      </left>
      <right style="medium">
        <color indexed="64"/>
      </right>
      <top/>
      <bottom style="hair">
        <color rgb="FF00B0F0"/>
      </bottom>
      <diagonal/>
    </border>
    <border>
      <left style="medium">
        <color indexed="64"/>
      </left>
      <right style="hair">
        <color rgb="FF00B0F0"/>
      </right>
      <top style="hair">
        <color rgb="FF00B0F0"/>
      </top>
      <bottom style="hair">
        <color rgb="FF00B0F0"/>
      </bottom>
      <diagonal/>
    </border>
    <border>
      <left style="hair">
        <color rgb="FF00B0F0"/>
      </left>
      <right style="hair">
        <color rgb="FF00B0F0"/>
      </right>
      <top style="hair">
        <color rgb="FF00B0F0"/>
      </top>
      <bottom style="hair">
        <color rgb="FF00B0F0"/>
      </bottom>
      <diagonal/>
    </border>
    <border>
      <left style="hair">
        <color rgb="FF00B0F0"/>
      </left>
      <right style="thin">
        <color theme="1"/>
      </right>
      <top style="hair">
        <color rgb="FF00B0F0"/>
      </top>
      <bottom style="hair">
        <color rgb="FF00B0F0"/>
      </bottom>
      <diagonal/>
    </border>
    <border>
      <left style="thin">
        <color theme="1"/>
      </left>
      <right style="hair">
        <color rgb="FF00B0F0"/>
      </right>
      <top style="hair">
        <color rgb="FF00B0F0"/>
      </top>
      <bottom style="hair">
        <color rgb="FF00B0F0"/>
      </bottom>
      <diagonal/>
    </border>
    <border>
      <left style="hair">
        <color rgb="FF00B0F0"/>
      </left>
      <right style="medium">
        <color indexed="64"/>
      </right>
      <top style="hair">
        <color rgb="FF00B0F0"/>
      </top>
      <bottom style="hair">
        <color rgb="FF00B0F0"/>
      </bottom>
      <diagonal/>
    </border>
    <border>
      <left style="medium">
        <color indexed="64"/>
      </left>
      <right style="hair">
        <color rgb="FF00B0F0"/>
      </right>
      <top style="hair">
        <color rgb="FF00B0F0"/>
      </top>
      <bottom style="medium">
        <color indexed="64"/>
      </bottom>
      <diagonal/>
    </border>
    <border>
      <left style="hair">
        <color rgb="FF00B0F0"/>
      </left>
      <right style="hair">
        <color rgb="FF00B0F0"/>
      </right>
      <top style="hair">
        <color rgb="FF00B0F0"/>
      </top>
      <bottom style="medium">
        <color indexed="64"/>
      </bottom>
      <diagonal/>
    </border>
    <border>
      <left style="hair">
        <color rgb="FF00B0F0"/>
      </left>
      <right style="thin">
        <color theme="1"/>
      </right>
      <top style="hair">
        <color rgb="FF00B0F0"/>
      </top>
      <bottom style="medium">
        <color indexed="64"/>
      </bottom>
      <diagonal/>
    </border>
    <border>
      <left style="thin">
        <color theme="1"/>
      </left>
      <right style="hair">
        <color rgb="FF00B0F0"/>
      </right>
      <top style="hair">
        <color rgb="FF00B0F0"/>
      </top>
      <bottom style="medium">
        <color indexed="64"/>
      </bottom>
      <diagonal/>
    </border>
    <border>
      <left style="hair">
        <color rgb="FF00B0F0"/>
      </left>
      <right style="medium">
        <color indexed="64"/>
      </right>
      <top style="hair">
        <color rgb="FF00B0F0"/>
      </top>
      <bottom style="medium">
        <color indexed="64"/>
      </bottom>
      <diagonal/>
    </border>
    <border>
      <left style="hair">
        <color rgb="FF00B0F0"/>
      </left>
      <right/>
      <top style="medium">
        <color indexed="64"/>
      </top>
      <bottom/>
      <diagonal/>
    </border>
    <border>
      <left style="hair">
        <color rgb="FF00B0F0"/>
      </left>
      <right style="hair">
        <color rgb="FF00B0F0"/>
      </right>
      <top/>
      <bottom/>
      <diagonal/>
    </border>
    <border>
      <left style="hair">
        <color rgb="FF00B0F0"/>
      </left>
      <right/>
      <top style="hair">
        <color rgb="FF00B0F0"/>
      </top>
      <bottom/>
      <diagonal/>
    </border>
    <border>
      <left/>
      <right/>
      <top style="hair">
        <color rgb="FF00B0F0"/>
      </top>
      <bottom/>
      <diagonal/>
    </border>
    <border>
      <left/>
      <right style="hair">
        <color rgb="FF00B0F0"/>
      </right>
      <top style="hair">
        <color rgb="FF00B0F0"/>
      </top>
      <bottom/>
      <diagonal/>
    </border>
    <border>
      <left style="hair">
        <color rgb="FF00B0F0"/>
      </left>
      <right/>
      <top/>
      <bottom/>
      <diagonal/>
    </border>
    <border>
      <left/>
      <right style="hair">
        <color rgb="FF00B0F0"/>
      </right>
      <top/>
      <bottom/>
      <diagonal/>
    </border>
    <border>
      <left/>
      <right/>
      <top/>
      <bottom style="hair">
        <color rgb="FF00B0F0"/>
      </bottom>
      <diagonal/>
    </border>
    <border>
      <left style="hair">
        <color rgb="FF00B0F0"/>
      </left>
      <right style="hair">
        <color rgb="FF00B0F0"/>
      </right>
      <top style="hair">
        <color rgb="FF00B0F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rgb="FF00B0F0"/>
      </bottom>
      <diagonal/>
    </border>
    <border>
      <left/>
      <right style="medium">
        <color indexed="64"/>
      </right>
      <top/>
      <bottom style="hair">
        <color rgb="FF00B0F0"/>
      </bottom>
      <diagonal/>
    </border>
    <border>
      <left style="medium">
        <color indexed="64"/>
      </left>
      <right/>
      <top style="hair">
        <color rgb="FF00B0F0"/>
      </top>
      <bottom style="hair">
        <color rgb="FF00B0F0"/>
      </bottom>
      <diagonal/>
    </border>
    <border>
      <left style="medium">
        <color indexed="64"/>
      </left>
      <right/>
      <top style="hair">
        <color rgb="FF00B0F0"/>
      </top>
      <bottom style="medium">
        <color indexed="64"/>
      </bottom>
      <diagonal/>
    </border>
    <border>
      <left/>
      <right style="medium">
        <color indexed="64"/>
      </right>
      <top/>
      <bottom style="medium">
        <color indexed="64"/>
      </bottom>
      <diagonal/>
    </border>
    <border>
      <left style="hair">
        <color rgb="FF00B0F0"/>
      </left>
      <right style="thin">
        <color theme="1"/>
      </right>
      <top style="hair">
        <color rgb="FF00B0F0"/>
      </top>
      <bottom/>
      <diagonal/>
    </border>
    <border>
      <left style="thin">
        <color theme="1"/>
      </left>
      <right style="hair">
        <color rgb="FF00B0F0"/>
      </right>
      <top style="hair">
        <color rgb="FF00B0F0"/>
      </top>
      <bottom/>
      <diagonal/>
    </border>
    <border>
      <left/>
      <right style="hair">
        <color rgb="FF00B0F0"/>
      </right>
      <top style="medium">
        <color indexed="64"/>
      </top>
      <bottom/>
      <diagonal/>
    </border>
    <border>
      <left/>
      <right style="medium">
        <color indexed="64"/>
      </right>
      <top style="medium">
        <color indexed="64"/>
      </top>
      <bottom/>
      <diagonal/>
    </border>
    <border>
      <left style="medium">
        <color indexed="64"/>
      </left>
      <right/>
      <top/>
      <bottom style="hair">
        <color rgb="FF00B0F0"/>
      </bottom>
      <diagonal/>
    </border>
    <border>
      <left/>
      <right style="hair">
        <color rgb="FF00B0F0"/>
      </right>
      <top/>
      <bottom style="medium">
        <color indexed="64"/>
      </bottom>
      <diagonal/>
    </border>
    <border>
      <left style="hair">
        <color rgb="FF00B0F0"/>
      </left>
      <right/>
      <top/>
      <bottom style="medium">
        <color indexed="64"/>
      </bottom>
      <diagonal/>
    </border>
    <border>
      <left/>
      <right style="hair">
        <color rgb="FF00B0F0"/>
      </right>
      <top style="medium">
        <color indexed="64"/>
      </top>
      <bottom style="hair">
        <color rgb="FF00B0F0"/>
      </bottom>
      <diagonal/>
    </border>
    <border>
      <left style="thin">
        <color indexed="64"/>
      </left>
      <right/>
      <top style="hair">
        <color rgb="FF00B0F0"/>
      </top>
      <bottom style="hair">
        <color rgb="FF00B0F0"/>
      </bottom>
      <diagonal/>
    </border>
    <border>
      <left style="medium">
        <color indexed="64"/>
      </left>
      <right style="hair">
        <color rgb="FF00B0F0"/>
      </right>
      <top style="medium">
        <color indexed="64"/>
      </top>
      <bottom style="hair">
        <color rgb="FF00B0F0"/>
      </bottom>
      <diagonal/>
    </border>
    <border>
      <left style="hair">
        <color rgb="FF00B0F0"/>
      </left>
      <right style="hair">
        <color rgb="FF00B0F0"/>
      </right>
      <top style="medium">
        <color indexed="64"/>
      </top>
      <bottom style="hair">
        <color rgb="FF00B0F0"/>
      </bottom>
      <diagonal/>
    </border>
    <border>
      <left style="hair">
        <color rgb="FF00B0F0"/>
      </left>
      <right style="medium">
        <color indexed="64"/>
      </right>
      <top style="medium">
        <color indexed="64"/>
      </top>
      <bottom style="hair">
        <color rgb="FF00B0F0"/>
      </bottom>
      <diagonal/>
    </border>
  </borders>
  <cellStyleXfs count="5">
    <xf numFmtId="0" fontId="0" fillId="0" borderId="0"/>
    <xf numFmtId="0" fontId="5" fillId="0" borderId="0"/>
    <xf numFmtId="0" fontId="9" fillId="0" borderId="0" applyNumberFormat="0" applyFill="0" applyBorder="0" applyAlignment="0" applyProtection="0"/>
    <xf numFmtId="0" fontId="11" fillId="0" borderId="0"/>
    <xf numFmtId="0" fontId="12" fillId="0" borderId="0"/>
  </cellStyleXfs>
  <cellXfs count="500">
    <xf numFmtId="0" fontId="0" fillId="0" borderId="0" xfId="0"/>
    <xf numFmtId="0" fontId="9" fillId="2" borderId="34" xfId="2" applyFill="1" applyBorder="1" applyProtection="1"/>
    <xf numFmtId="0" fontId="2" fillId="2" borderId="22" xfId="0" applyFont="1" applyFill="1" applyBorder="1" applyProtection="1">
      <protection locked="0"/>
    </xf>
    <xf numFmtId="0" fontId="2" fillId="2" borderId="26" xfId="0" applyFont="1" applyFill="1" applyBorder="1" applyProtection="1">
      <protection locked="0"/>
    </xf>
    <xf numFmtId="0" fontId="2" fillId="2" borderId="27" xfId="0" applyFont="1" applyFill="1" applyBorder="1" applyProtection="1">
      <protection locked="0"/>
    </xf>
    <xf numFmtId="0" fontId="2" fillId="2" borderId="28" xfId="0" applyFont="1" applyFill="1" applyBorder="1" applyProtection="1">
      <protection locked="0"/>
    </xf>
    <xf numFmtId="0" fontId="2" fillId="2" borderId="29" xfId="0" applyFont="1" applyFill="1" applyBorder="1" applyProtection="1">
      <protection locked="0"/>
    </xf>
    <xf numFmtId="0" fontId="2" fillId="2" borderId="44" xfId="0" applyFont="1" applyFill="1" applyBorder="1" applyProtection="1">
      <protection locked="0"/>
    </xf>
    <xf numFmtId="0" fontId="2" fillId="2" borderId="30" xfId="0" applyFont="1" applyFill="1" applyBorder="1" applyProtection="1">
      <protection locked="0"/>
    </xf>
    <xf numFmtId="0" fontId="2" fillId="2" borderId="31" xfId="0" applyFont="1" applyFill="1" applyBorder="1" applyProtection="1">
      <protection locked="0"/>
    </xf>
    <xf numFmtId="0" fontId="2" fillId="2" borderId="32" xfId="0" applyFont="1" applyFill="1" applyBorder="1" applyProtection="1">
      <protection locked="0"/>
    </xf>
    <xf numFmtId="0" fontId="2" fillId="2" borderId="33" xfId="0" applyFont="1" applyFill="1" applyBorder="1" applyProtection="1">
      <protection locked="0"/>
    </xf>
    <xf numFmtId="0" fontId="2" fillId="2" borderId="34" xfId="0" applyFont="1" applyFill="1" applyBorder="1" applyProtection="1">
      <protection locked="0"/>
    </xf>
    <xf numFmtId="0" fontId="2" fillId="2" borderId="35" xfId="0" applyFont="1" applyFill="1" applyBorder="1" applyProtection="1">
      <protection locked="0"/>
    </xf>
    <xf numFmtId="0" fontId="2" fillId="2" borderId="12" xfId="0" applyFont="1" applyFill="1" applyBorder="1" applyProtection="1">
      <protection locked="0"/>
    </xf>
    <xf numFmtId="0" fontId="13" fillId="2" borderId="34" xfId="0" applyFont="1" applyFill="1" applyBorder="1" applyProtection="1">
      <protection locked="0"/>
    </xf>
    <xf numFmtId="0" fontId="2" fillId="2" borderId="14" xfId="0" applyFont="1" applyFill="1" applyBorder="1" applyProtection="1">
      <protection locked="0"/>
    </xf>
    <xf numFmtId="0" fontId="2" fillId="2" borderId="36" xfId="0" applyFont="1" applyFill="1" applyBorder="1" applyProtection="1">
      <protection locked="0"/>
    </xf>
    <xf numFmtId="0" fontId="2" fillId="2" borderId="37" xfId="0" applyFont="1" applyFill="1" applyBorder="1" applyProtection="1">
      <protection locked="0"/>
    </xf>
    <xf numFmtId="0" fontId="2" fillId="2" borderId="51" xfId="0" applyFont="1" applyFill="1" applyBorder="1" applyProtection="1">
      <protection locked="0"/>
    </xf>
    <xf numFmtId="0" fontId="2" fillId="2" borderId="13" xfId="0" applyFont="1" applyFill="1" applyBorder="1" applyProtection="1">
      <protection locked="0"/>
    </xf>
    <xf numFmtId="0" fontId="2" fillId="2" borderId="60" xfId="0" applyFont="1" applyFill="1" applyBorder="1" applyProtection="1">
      <protection locked="0"/>
    </xf>
    <xf numFmtId="0" fontId="2" fillId="2" borderId="45" xfId="0" applyFont="1" applyFill="1" applyBorder="1" applyProtection="1">
      <protection locked="0"/>
    </xf>
    <xf numFmtId="0" fontId="2" fillId="2" borderId="61" xfId="0" applyFont="1" applyFill="1" applyBorder="1" applyProtection="1">
      <protection locked="0"/>
    </xf>
    <xf numFmtId="0" fontId="13" fillId="2" borderId="51" xfId="0" applyFont="1" applyFill="1" applyBorder="1" applyProtection="1">
      <protection locked="0"/>
    </xf>
    <xf numFmtId="0" fontId="2" fillId="2" borderId="38" xfId="0" applyFont="1" applyFill="1" applyBorder="1" applyProtection="1">
      <protection locked="0"/>
    </xf>
    <xf numFmtId="0" fontId="2" fillId="2" borderId="39" xfId="0" applyFont="1" applyFill="1" applyBorder="1" applyProtection="1">
      <protection locked="0"/>
    </xf>
    <xf numFmtId="0" fontId="2" fillId="2" borderId="40" xfId="0" applyFont="1" applyFill="1" applyBorder="1" applyProtection="1">
      <protection locked="0"/>
    </xf>
    <xf numFmtId="0" fontId="2" fillId="2" borderId="21" xfId="0" applyFont="1" applyFill="1" applyBorder="1" applyProtection="1">
      <protection locked="0"/>
    </xf>
    <xf numFmtId="0" fontId="2" fillId="2" borderId="41" xfId="0" applyFont="1" applyFill="1" applyBorder="1" applyProtection="1">
      <protection locked="0"/>
    </xf>
    <xf numFmtId="0" fontId="2" fillId="2" borderId="42" xfId="0" applyFont="1" applyFill="1" applyBorder="1" applyProtection="1">
      <protection locked="0"/>
    </xf>
    <xf numFmtId="0" fontId="1" fillId="2" borderId="0" xfId="1" applyFont="1" applyFill="1"/>
    <xf numFmtId="0" fontId="5" fillId="2" borderId="0" xfId="1" applyFill="1"/>
    <xf numFmtId="0" fontId="5" fillId="0" borderId="0" xfId="1"/>
    <xf numFmtId="0" fontId="2" fillId="2" borderId="26" xfId="1" applyFont="1" applyFill="1" applyBorder="1"/>
    <xf numFmtId="0" fontId="2" fillId="2" borderId="27" xfId="1" applyFont="1" applyFill="1" applyBorder="1"/>
    <xf numFmtId="0" fontId="2" fillId="2" borderId="28" xfId="1" applyFont="1" applyFill="1" applyBorder="1"/>
    <xf numFmtId="0" fontId="2" fillId="2" borderId="29" xfId="1" applyFont="1" applyFill="1" applyBorder="1"/>
    <xf numFmtId="0" fontId="2" fillId="2" borderId="44" xfId="1" applyFont="1" applyFill="1" applyBorder="1"/>
    <xf numFmtId="0" fontId="2" fillId="2" borderId="30" xfId="1" applyFont="1" applyFill="1" applyBorder="1"/>
    <xf numFmtId="0" fontId="2" fillId="2" borderId="31" xfId="1" applyFont="1" applyFill="1" applyBorder="1"/>
    <xf numFmtId="0" fontId="2" fillId="2" borderId="32" xfId="1" applyFont="1" applyFill="1" applyBorder="1"/>
    <xf numFmtId="0" fontId="2" fillId="2" borderId="33" xfId="1" applyFont="1" applyFill="1" applyBorder="1"/>
    <xf numFmtId="0" fontId="2" fillId="2" borderId="34" xfId="1" applyFont="1" applyFill="1" applyBorder="1"/>
    <xf numFmtId="0" fontId="2" fillId="2" borderId="35" xfId="1" applyFont="1" applyFill="1" applyBorder="1"/>
    <xf numFmtId="0" fontId="2" fillId="2" borderId="12" xfId="1" applyFont="1" applyFill="1" applyBorder="1"/>
    <xf numFmtId="0" fontId="2" fillId="2" borderId="14" xfId="1" applyFont="1" applyFill="1" applyBorder="1"/>
    <xf numFmtId="0" fontId="2" fillId="2" borderId="36" xfId="1" applyFont="1" applyFill="1" applyBorder="1"/>
    <xf numFmtId="0" fontId="2" fillId="2" borderId="37" xfId="1" applyFont="1" applyFill="1" applyBorder="1"/>
    <xf numFmtId="0" fontId="2" fillId="2" borderId="13" xfId="1" applyFont="1" applyFill="1" applyBorder="1"/>
    <xf numFmtId="0" fontId="2" fillId="2" borderId="51" xfId="1" applyFont="1" applyFill="1" applyBorder="1"/>
    <xf numFmtId="0" fontId="2" fillId="2" borderId="38" xfId="1" applyFont="1" applyFill="1" applyBorder="1"/>
    <xf numFmtId="0" fontId="2" fillId="2" borderId="39" xfId="1" applyFont="1" applyFill="1" applyBorder="1"/>
    <xf numFmtId="0" fontId="2" fillId="2" borderId="40" xfId="1" applyFont="1" applyFill="1" applyBorder="1"/>
    <xf numFmtId="0" fontId="2" fillId="2" borderId="21" xfId="1" applyFont="1" applyFill="1" applyBorder="1"/>
    <xf numFmtId="0" fontId="2" fillId="2" borderId="22" xfId="1" applyFont="1" applyFill="1" applyBorder="1"/>
    <xf numFmtId="0" fontId="2" fillId="2" borderId="41" xfId="1" applyFont="1" applyFill="1" applyBorder="1"/>
    <xf numFmtId="0" fontId="2" fillId="2" borderId="42" xfId="1" applyFont="1" applyFill="1" applyBorder="1"/>
    <xf numFmtId="0" fontId="1" fillId="2" borderId="0" xfId="0" applyFont="1" applyFill="1"/>
    <xf numFmtId="0" fontId="0" fillId="2" borderId="0" xfId="0" applyFill="1"/>
    <xf numFmtId="164" fontId="1" fillId="2" borderId="0" xfId="0" applyNumberFormat="1" applyFont="1" applyFill="1"/>
    <xf numFmtId="165" fontId="1" fillId="2" borderId="0" xfId="0" applyNumberFormat="1" applyFont="1" applyFill="1"/>
    <xf numFmtId="0" fontId="22" fillId="2" borderId="0" xfId="0" applyFont="1" applyFill="1"/>
    <xf numFmtId="2" fontId="1" fillId="2" borderId="0" xfId="0" applyNumberFormat="1" applyFont="1" applyFill="1"/>
    <xf numFmtId="0" fontId="6" fillId="0" borderId="0" xfId="1" applyFont="1"/>
    <xf numFmtId="0" fontId="4" fillId="2" borderId="0" xfId="0" applyFont="1" applyFill="1"/>
    <xf numFmtId="0" fontId="2" fillId="2" borderId="0" xfId="0" applyFont="1" applyFill="1"/>
    <xf numFmtId="0" fontId="0" fillId="3" borderId="0" xfId="0" applyFill="1"/>
    <xf numFmtId="0" fontId="24" fillId="0" borderId="0" xfId="0" applyFont="1"/>
    <xf numFmtId="0" fontId="23" fillId="2" borderId="0" xfId="0" applyFont="1" applyFill="1"/>
    <xf numFmtId="164" fontId="2" fillId="3" borderId="34" xfId="0" applyNumberFormat="1" applyFont="1" applyFill="1" applyBorder="1" applyProtection="1">
      <protection locked="0"/>
    </xf>
    <xf numFmtId="164" fontId="0" fillId="3" borderId="34" xfId="0" applyNumberFormat="1" applyFill="1" applyBorder="1" applyProtection="1">
      <protection locked="0"/>
    </xf>
    <xf numFmtId="164" fontId="0" fillId="3" borderId="37" xfId="0" applyNumberFormat="1" applyFill="1" applyBorder="1" applyProtection="1">
      <protection locked="0"/>
    </xf>
    <xf numFmtId="3" fontId="2" fillId="3" borderId="21" xfId="0" applyNumberFormat="1" applyFont="1" applyFill="1" applyBorder="1" applyAlignment="1" applyProtection="1">
      <alignment shrinkToFit="1"/>
      <protection locked="0"/>
    </xf>
    <xf numFmtId="3" fontId="0" fillId="0" borderId="39" xfId="0" applyNumberFormat="1" applyBorder="1" applyAlignment="1" applyProtection="1">
      <alignment shrinkToFit="1"/>
      <protection locked="0"/>
    </xf>
    <xf numFmtId="166" fontId="2" fillId="3" borderId="39" xfId="0" applyNumberFormat="1" applyFont="1" applyFill="1" applyBorder="1" applyAlignment="1" applyProtection="1">
      <alignment shrinkToFit="1"/>
      <protection locked="0"/>
    </xf>
    <xf numFmtId="166" fontId="0" fillId="0" borderId="39" xfId="0" applyNumberFormat="1" applyBorder="1" applyAlignment="1" applyProtection="1">
      <alignment shrinkToFit="1"/>
      <protection locked="0"/>
    </xf>
    <xf numFmtId="164" fontId="2" fillId="3" borderId="39" xfId="0" applyNumberFormat="1" applyFont="1" applyFill="1" applyBorder="1" applyProtection="1">
      <protection locked="0"/>
    </xf>
    <xf numFmtId="164" fontId="0" fillId="3" borderId="39" xfId="0" applyNumberFormat="1" applyFill="1" applyBorder="1" applyProtection="1">
      <protection locked="0"/>
    </xf>
    <xf numFmtId="164" fontId="0" fillId="3" borderId="42" xfId="0" applyNumberFormat="1" applyFill="1" applyBorder="1" applyProtection="1">
      <protection locked="0"/>
    </xf>
    <xf numFmtId="164" fontId="2" fillId="3" borderId="27" xfId="0" applyNumberFormat="1" applyFont="1" applyFill="1" applyBorder="1" applyProtection="1">
      <protection locked="0"/>
    </xf>
    <xf numFmtId="164" fontId="0" fillId="3" borderId="27" xfId="0" applyNumberFormat="1" applyFill="1" applyBorder="1" applyProtection="1">
      <protection locked="0"/>
    </xf>
    <xf numFmtId="164" fontId="0" fillId="3" borderId="32" xfId="0" applyNumberFormat="1" applyFill="1" applyBorder="1" applyProtection="1">
      <protection locked="0"/>
    </xf>
    <xf numFmtId="3" fontId="2" fillId="3" borderId="13" xfId="0" applyNumberFormat="1" applyFont="1" applyFill="1" applyBorder="1" applyAlignment="1" applyProtection="1">
      <alignment shrinkToFit="1"/>
      <protection locked="0"/>
    </xf>
    <xf numFmtId="3" fontId="0" fillId="0" borderId="34" xfId="0" applyNumberFormat="1" applyBorder="1" applyAlignment="1" applyProtection="1">
      <alignment shrinkToFit="1"/>
      <protection locked="0"/>
    </xf>
    <xf numFmtId="166" fontId="2" fillId="3" borderId="34" xfId="0" applyNumberFormat="1" applyFont="1" applyFill="1" applyBorder="1" applyAlignment="1" applyProtection="1">
      <alignment shrinkToFit="1"/>
      <protection locked="0"/>
    </xf>
    <xf numFmtId="166" fontId="0" fillId="0" borderId="34" xfId="0" applyNumberFormat="1" applyBorder="1" applyAlignment="1" applyProtection="1">
      <alignment shrinkToFit="1"/>
      <protection locked="0"/>
    </xf>
    <xf numFmtId="164" fontId="2" fillId="3" borderId="22" xfId="0" applyNumberFormat="1" applyFont="1" applyFill="1" applyBorder="1" applyProtection="1">
      <protection locked="0"/>
    </xf>
    <xf numFmtId="164" fontId="0" fillId="3" borderId="20" xfId="0" applyNumberFormat="1" applyFill="1" applyBorder="1" applyProtection="1">
      <protection locked="0"/>
    </xf>
    <xf numFmtId="164" fontId="0" fillId="3" borderId="21" xfId="0" applyNumberFormat="1" applyFill="1" applyBorder="1" applyProtection="1">
      <protection locked="0"/>
    </xf>
    <xf numFmtId="164" fontId="0" fillId="3" borderId="25" xfId="0" applyNumberFormat="1" applyFill="1" applyBorder="1" applyProtection="1">
      <protection locked="0"/>
    </xf>
    <xf numFmtId="3" fontId="2" fillId="3" borderId="29" xfId="0" applyNumberFormat="1" applyFont="1" applyFill="1" applyBorder="1" applyAlignment="1" applyProtection="1">
      <alignment shrinkToFit="1"/>
      <protection locked="0"/>
    </xf>
    <xf numFmtId="3" fontId="0" fillId="0" borderId="27" xfId="0" applyNumberFormat="1" applyBorder="1" applyAlignment="1" applyProtection="1">
      <alignment shrinkToFit="1"/>
      <protection locked="0"/>
    </xf>
    <xf numFmtId="166" fontId="2" fillId="3" borderId="27" xfId="0" applyNumberFormat="1" applyFont="1" applyFill="1" applyBorder="1" applyAlignment="1" applyProtection="1">
      <alignment shrinkToFit="1"/>
      <protection locked="0"/>
    </xf>
    <xf numFmtId="166" fontId="0" fillId="0" borderId="27" xfId="0" applyNumberFormat="1" applyBorder="1" applyAlignment="1" applyProtection="1">
      <alignment shrinkToFit="1"/>
      <protection locked="0"/>
    </xf>
    <xf numFmtId="4" fontId="2" fillId="3" borderId="20" xfId="0" applyNumberFormat="1" applyFont="1" applyFill="1" applyBorder="1" applyProtection="1">
      <protection locked="0"/>
    </xf>
    <xf numFmtId="4" fontId="0" fillId="3" borderId="21" xfId="0" applyNumberFormat="1" applyFill="1" applyBorder="1" applyProtection="1">
      <protection locked="0"/>
    </xf>
    <xf numFmtId="2" fontId="2" fillId="4" borderId="22" xfId="0" applyNumberFormat="1" applyFont="1" applyFill="1" applyBorder="1" applyAlignment="1" applyProtection="1">
      <alignment shrinkToFit="1"/>
      <protection locked="0"/>
    </xf>
    <xf numFmtId="2" fontId="2" fillId="4" borderId="21" xfId="0" applyNumberFormat="1" applyFont="1" applyFill="1" applyBorder="1" applyAlignment="1" applyProtection="1">
      <alignment shrinkToFit="1"/>
      <protection locked="0"/>
    </xf>
    <xf numFmtId="4" fontId="2" fillId="3" borderId="50" xfId="0" applyNumberFormat="1" applyFont="1" applyFill="1" applyBorder="1" applyProtection="1">
      <protection locked="0"/>
    </xf>
    <xf numFmtId="4" fontId="0" fillId="3" borderId="29" xfId="0" applyNumberFormat="1" applyFill="1" applyBorder="1" applyProtection="1">
      <protection locked="0"/>
    </xf>
    <xf numFmtId="4" fontId="2" fillId="3" borderId="12" xfId="0" applyNumberFormat="1" applyFont="1" applyFill="1" applyBorder="1" applyProtection="1">
      <protection locked="0"/>
    </xf>
    <xf numFmtId="4" fontId="0" fillId="3" borderId="13" xfId="0" applyNumberFormat="1" applyFill="1" applyBorder="1" applyProtection="1">
      <protection locked="0"/>
    </xf>
    <xf numFmtId="164" fontId="2" fillId="3" borderId="14" xfId="0" applyNumberFormat="1" applyFont="1" applyFill="1" applyBorder="1" applyProtection="1">
      <protection locked="0"/>
    </xf>
    <xf numFmtId="164" fontId="0" fillId="3" borderId="12" xfId="0" applyNumberFormat="1" applyFill="1" applyBorder="1" applyProtection="1">
      <protection locked="0"/>
    </xf>
    <xf numFmtId="164" fontId="0" fillId="3" borderId="13" xfId="0" applyNumberFormat="1" applyFill="1" applyBorder="1" applyProtection="1">
      <protection locked="0"/>
    </xf>
    <xf numFmtId="164" fontId="0" fillId="3" borderId="16" xfId="0" applyNumberFormat="1" applyFill="1" applyBorder="1" applyProtection="1">
      <protection locked="0"/>
    </xf>
    <xf numFmtId="165" fontId="2" fillId="4" borderId="22" xfId="0" applyNumberFormat="1" applyFont="1" applyFill="1" applyBorder="1" applyAlignment="1" applyProtection="1">
      <alignment shrinkToFit="1"/>
      <protection locked="0"/>
    </xf>
    <xf numFmtId="165" fontId="2" fillId="4" borderId="21" xfId="0" applyNumberFormat="1" applyFont="1" applyFill="1" applyBorder="1" applyAlignment="1" applyProtection="1">
      <alignment shrinkToFit="1"/>
      <protection locked="0"/>
    </xf>
    <xf numFmtId="0" fontId="2" fillId="3" borderId="43" xfId="0" applyFont="1" applyFill="1" applyBorder="1" applyProtection="1">
      <protection locked="0"/>
    </xf>
    <xf numFmtId="0" fontId="0" fillId="3" borderId="2" xfId="0" applyFill="1" applyBorder="1" applyProtection="1">
      <protection locked="0"/>
    </xf>
    <xf numFmtId="0" fontId="0" fillId="3" borderId="62" xfId="0" applyFill="1" applyBorder="1" applyProtection="1">
      <protection locked="0"/>
    </xf>
    <xf numFmtId="0" fontId="0" fillId="3" borderId="66" xfId="0" applyFill="1" applyBorder="1" applyProtection="1">
      <protection locked="0"/>
    </xf>
    <xf numFmtId="0" fontId="0" fillId="3" borderId="18" xfId="0" applyFill="1" applyBorder="1" applyProtection="1">
      <protection locked="0"/>
    </xf>
    <xf numFmtId="0" fontId="0" fillId="3" borderId="65" xfId="0" applyFill="1" applyBorder="1" applyProtection="1">
      <protection locked="0"/>
    </xf>
    <xf numFmtId="164" fontId="2" fillId="4" borderId="14" xfId="0" applyNumberFormat="1" applyFont="1" applyFill="1" applyBorder="1" applyAlignment="1" applyProtection="1">
      <alignment shrinkToFit="1"/>
      <protection locked="0"/>
    </xf>
    <xf numFmtId="164" fontId="2" fillId="4" borderId="13" xfId="0" applyNumberFormat="1" applyFont="1" applyFill="1" applyBorder="1" applyAlignment="1" applyProtection="1">
      <alignment shrinkToFit="1"/>
      <protection locked="0"/>
    </xf>
    <xf numFmtId="164" fontId="2" fillId="4" borderId="22" xfId="0" applyNumberFormat="1" applyFont="1" applyFill="1" applyBorder="1" applyAlignment="1" applyProtection="1">
      <alignment shrinkToFit="1"/>
      <protection locked="0"/>
    </xf>
    <xf numFmtId="164" fontId="2" fillId="4" borderId="21" xfId="0" applyNumberFormat="1" applyFont="1" applyFill="1" applyBorder="1" applyAlignment="1" applyProtection="1">
      <alignment shrinkToFit="1"/>
      <protection locked="0"/>
    </xf>
    <xf numFmtId="2" fontId="2" fillId="4" borderId="20" xfId="0" applyNumberFormat="1" applyFont="1" applyFill="1" applyBorder="1" applyAlignment="1" applyProtection="1">
      <alignment shrinkToFit="1"/>
      <protection locked="0"/>
    </xf>
    <xf numFmtId="2" fontId="2" fillId="4" borderId="5" xfId="0" applyNumberFormat="1" applyFont="1" applyFill="1" applyBorder="1" applyAlignment="1" applyProtection="1">
      <alignment shrinkToFit="1"/>
      <protection locked="0"/>
    </xf>
    <xf numFmtId="2" fontId="0" fillId="4" borderId="67" xfId="0" applyNumberFormat="1" applyFill="1" applyBorder="1" applyAlignment="1" applyProtection="1">
      <alignment shrinkToFit="1"/>
      <protection locked="0"/>
    </xf>
    <xf numFmtId="2" fontId="2" fillId="4" borderId="14" xfId="0" applyNumberFormat="1" applyFont="1" applyFill="1" applyBorder="1" applyAlignment="1" applyProtection="1">
      <alignment shrinkToFit="1"/>
      <protection locked="0"/>
    </xf>
    <xf numFmtId="2" fontId="0" fillId="4" borderId="13" xfId="0" applyNumberFormat="1" applyFill="1" applyBorder="1" applyAlignment="1" applyProtection="1">
      <alignment shrinkToFit="1"/>
      <protection locked="0"/>
    </xf>
    <xf numFmtId="2" fontId="0" fillId="4" borderId="4" xfId="0" applyNumberFormat="1" applyFill="1" applyBorder="1" applyAlignment="1" applyProtection="1">
      <alignment shrinkToFit="1"/>
      <protection locked="0"/>
    </xf>
    <xf numFmtId="2" fontId="0" fillId="4" borderId="12" xfId="0" applyNumberFormat="1" applyFill="1" applyBorder="1" applyAlignment="1" applyProtection="1">
      <alignment shrinkToFit="1"/>
      <protection locked="0"/>
    </xf>
    <xf numFmtId="164" fontId="2" fillId="4" borderId="5" xfId="0" applyNumberFormat="1" applyFont="1" applyFill="1" applyBorder="1" applyAlignment="1" applyProtection="1">
      <alignment shrinkToFit="1"/>
      <protection locked="0"/>
    </xf>
    <xf numFmtId="164" fontId="0" fillId="4" borderId="67" xfId="0" applyNumberFormat="1" applyFill="1" applyBorder="1" applyAlignment="1" applyProtection="1">
      <alignment shrinkToFit="1"/>
      <protection locked="0"/>
    </xf>
    <xf numFmtId="165" fontId="2" fillId="4" borderId="14" xfId="0" applyNumberFormat="1" applyFont="1" applyFill="1" applyBorder="1" applyAlignment="1" applyProtection="1">
      <alignment shrinkToFit="1"/>
      <protection locked="0"/>
    </xf>
    <xf numFmtId="165" fontId="0" fillId="4" borderId="13" xfId="0" applyNumberFormat="1" applyFill="1" applyBorder="1" applyAlignment="1" applyProtection="1">
      <alignment shrinkToFit="1"/>
      <protection locked="0"/>
    </xf>
    <xf numFmtId="167" fontId="2" fillId="4" borderId="14" xfId="0" applyNumberFormat="1" applyFont="1" applyFill="1" applyBorder="1" applyAlignment="1" applyProtection="1">
      <alignment shrinkToFit="1"/>
      <protection locked="0"/>
    </xf>
    <xf numFmtId="167" fontId="0" fillId="4" borderId="13" xfId="0" applyNumberFormat="1" applyFill="1" applyBorder="1" applyAlignment="1" applyProtection="1">
      <alignment shrinkToFit="1"/>
      <protection locked="0"/>
    </xf>
    <xf numFmtId="167" fontId="2" fillId="4" borderId="22" xfId="0" applyNumberFormat="1" applyFont="1" applyFill="1" applyBorder="1" applyAlignment="1" applyProtection="1">
      <alignment shrinkToFit="1"/>
      <protection locked="0"/>
    </xf>
    <xf numFmtId="167" fontId="2" fillId="4" borderId="21" xfId="0" applyNumberFormat="1" applyFont="1" applyFill="1" applyBorder="1" applyAlignment="1" applyProtection="1">
      <alignment shrinkToFit="1"/>
      <protection locked="0"/>
    </xf>
    <xf numFmtId="1" fontId="2" fillId="4" borderId="57" xfId="0" applyNumberFormat="1" applyFont="1" applyFill="1" applyBorder="1" applyAlignment="1" applyProtection="1">
      <alignment shrinkToFit="1"/>
      <protection locked="0"/>
    </xf>
    <xf numFmtId="1" fontId="0" fillId="4" borderId="13" xfId="0" applyNumberFormat="1" applyFill="1" applyBorder="1" applyAlignment="1" applyProtection="1">
      <alignment shrinkToFit="1"/>
      <protection locked="0"/>
    </xf>
    <xf numFmtId="1" fontId="2" fillId="4" borderId="58" xfId="0" applyNumberFormat="1" applyFont="1" applyFill="1" applyBorder="1" applyAlignment="1" applyProtection="1">
      <alignment shrinkToFit="1"/>
      <protection locked="0"/>
    </xf>
    <xf numFmtId="1" fontId="2" fillId="4" borderId="21" xfId="0" applyNumberFormat="1" applyFont="1" applyFill="1" applyBorder="1" applyAlignment="1" applyProtection="1">
      <alignment shrinkToFit="1"/>
      <protection locked="0"/>
    </xf>
    <xf numFmtId="167" fontId="2" fillId="4" borderId="5" xfId="0" applyNumberFormat="1" applyFont="1" applyFill="1" applyBorder="1" applyAlignment="1" applyProtection="1">
      <alignment shrinkToFit="1"/>
      <protection locked="0"/>
    </xf>
    <xf numFmtId="167" fontId="0" fillId="4" borderId="67" xfId="0" applyNumberFormat="1" applyFill="1" applyBorder="1" applyAlignment="1" applyProtection="1">
      <alignment shrinkToFit="1"/>
      <protection locked="0"/>
    </xf>
    <xf numFmtId="165" fontId="2" fillId="4" borderId="5" xfId="0" applyNumberFormat="1" applyFont="1" applyFill="1" applyBorder="1" applyAlignment="1" applyProtection="1">
      <alignment shrinkToFit="1"/>
      <protection locked="0"/>
    </xf>
    <xf numFmtId="165" fontId="0" fillId="4" borderId="67" xfId="0" applyNumberFormat="1" applyFill="1" applyBorder="1" applyAlignment="1" applyProtection="1">
      <alignment shrinkToFit="1"/>
      <protection locked="0"/>
    </xf>
    <xf numFmtId="0" fontId="6" fillId="2" borderId="18" xfId="1" applyFont="1" applyFill="1" applyBorder="1"/>
    <xf numFmtId="0" fontId="6" fillId="0" borderId="18" xfId="1" applyFont="1" applyBorder="1"/>
    <xf numFmtId="0" fontId="7" fillId="0" borderId="0" xfId="1" applyFont="1"/>
    <xf numFmtId="0" fontId="2" fillId="3" borderId="12" xfId="0" applyFont="1" applyFill="1" applyBorder="1" applyProtection="1">
      <protection locked="0"/>
    </xf>
    <xf numFmtId="0" fontId="0" fillId="3" borderId="12" xfId="0" applyFill="1" applyBorder="1" applyProtection="1">
      <protection locked="0"/>
    </xf>
    <xf numFmtId="0" fontId="0" fillId="3" borderId="16" xfId="0" applyFill="1" applyBorder="1" applyProtection="1">
      <protection locked="0"/>
    </xf>
    <xf numFmtId="0" fontId="2" fillId="4" borderId="58" xfId="0" applyFont="1" applyFill="1" applyBorder="1" applyProtection="1">
      <protection locked="0"/>
    </xf>
    <xf numFmtId="0" fontId="0" fillId="4" borderId="20" xfId="0" applyFill="1" applyBorder="1" applyProtection="1">
      <protection locked="0"/>
    </xf>
    <xf numFmtId="0" fontId="0" fillId="4" borderId="25" xfId="0" applyFill="1" applyBorder="1" applyProtection="1">
      <protection locked="0"/>
    </xf>
    <xf numFmtId="0" fontId="2" fillId="3" borderId="20" xfId="0" applyFont="1" applyFill="1" applyBorder="1" applyProtection="1">
      <protection locked="0"/>
    </xf>
    <xf numFmtId="0" fontId="0" fillId="3" borderId="20" xfId="0" applyFill="1" applyBorder="1" applyProtection="1">
      <protection locked="0"/>
    </xf>
    <xf numFmtId="0" fontId="0" fillId="3" borderId="25" xfId="0" applyFill="1" applyBorder="1" applyProtection="1">
      <protection locked="0"/>
    </xf>
    <xf numFmtId="0" fontId="2" fillId="4" borderId="57" xfId="0" applyFont="1" applyFill="1" applyBorder="1" applyProtection="1">
      <protection locked="0"/>
    </xf>
    <xf numFmtId="0" fontId="0" fillId="4" borderId="12" xfId="0" applyFill="1" applyBorder="1" applyProtection="1">
      <protection locked="0"/>
    </xf>
    <xf numFmtId="0" fontId="0" fillId="4" borderId="16" xfId="0" applyFill="1" applyBorder="1" applyProtection="1">
      <protection locked="0"/>
    </xf>
    <xf numFmtId="0" fontId="3" fillId="2" borderId="11" xfId="0" applyFont="1" applyFill="1" applyBorder="1" applyProtection="1">
      <protection locked="0"/>
    </xf>
    <xf numFmtId="0" fontId="1" fillId="2" borderId="12" xfId="0" applyFont="1" applyFill="1" applyBorder="1" applyProtection="1">
      <protection locked="0"/>
    </xf>
    <xf numFmtId="0" fontId="1" fillId="2" borderId="13" xfId="0" applyFont="1" applyFill="1" applyBorder="1" applyProtection="1">
      <protection locked="0"/>
    </xf>
    <xf numFmtId="0" fontId="1" fillId="2" borderId="14" xfId="1" applyFont="1" applyFill="1" applyBorder="1" applyProtection="1">
      <protection locked="0"/>
    </xf>
    <xf numFmtId="0" fontId="1" fillId="2" borderId="12" xfId="1" applyFont="1" applyFill="1" applyBorder="1" applyProtection="1">
      <protection locked="0"/>
    </xf>
    <xf numFmtId="0" fontId="1" fillId="2" borderId="15" xfId="1" applyFont="1" applyFill="1" applyBorder="1" applyProtection="1">
      <protection locked="0"/>
    </xf>
    <xf numFmtId="0" fontId="2" fillId="3" borderId="57" xfId="0" applyFont="1" applyFill="1" applyBorder="1" applyProtection="1">
      <protection locked="0"/>
    </xf>
    <xf numFmtId="0" fontId="0" fillId="3" borderId="13" xfId="0" applyFill="1" applyBorder="1" applyProtection="1">
      <protection locked="0"/>
    </xf>
    <xf numFmtId="0" fontId="2" fillId="3" borderId="58" xfId="0" applyFont="1" applyFill="1" applyBorder="1" applyProtection="1">
      <protection locked="0"/>
    </xf>
    <xf numFmtId="0" fontId="0" fillId="3" borderId="21" xfId="0" applyFill="1" applyBorder="1" applyProtection="1">
      <protection locked="0"/>
    </xf>
    <xf numFmtId="0" fontId="18" fillId="3" borderId="43" xfId="0" applyFont="1" applyFill="1" applyBorder="1" applyAlignment="1" applyProtection="1">
      <alignment wrapText="1"/>
      <protection locked="0"/>
    </xf>
    <xf numFmtId="0" fontId="18" fillId="3" borderId="62" xfId="0" applyFont="1" applyFill="1" applyBorder="1" applyAlignment="1" applyProtection="1">
      <alignment wrapText="1"/>
      <protection locked="0"/>
    </xf>
    <xf numFmtId="0" fontId="18" fillId="3" borderId="66" xfId="0" applyFont="1" applyFill="1" applyBorder="1" applyAlignment="1" applyProtection="1">
      <alignment wrapText="1"/>
      <protection locked="0"/>
    </xf>
    <xf numFmtId="0" fontId="18" fillId="3" borderId="65" xfId="0" applyFont="1" applyFill="1" applyBorder="1" applyAlignment="1" applyProtection="1">
      <alignment wrapText="1"/>
      <protection locked="0"/>
    </xf>
    <xf numFmtId="1" fontId="2" fillId="4" borderId="55" xfId="0" applyNumberFormat="1" applyFont="1" applyFill="1" applyBorder="1" applyAlignment="1" applyProtection="1">
      <alignment shrinkToFit="1"/>
      <protection locked="0"/>
    </xf>
    <xf numFmtId="1" fontId="0" fillId="4" borderId="67" xfId="0" applyNumberFormat="1" applyFill="1" applyBorder="1" applyAlignment="1" applyProtection="1">
      <alignment shrinkToFit="1"/>
      <protection locked="0"/>
    </xf>
    <xf numFmtId="0" fontId="1" fillId="2" borderId="11" xfId="0" applyFont="1" applyFill="1" applyBorder="1" applyProtection="1">
      <protection locked="0"/>
    </xf>
    <xf numFmtId="0" fontId="1" fillId="2" borderId="16" xfId="0" applyFont="1" applyFill="1" applyBorder="1" applyProtection="1">
      <protection locked="0"/>
    </xf>
    <xf numFmtId="0" fontId="2" fillId="2" borderId="11" xfId="0" applyFont="1" applyFill="1" applyBorder="1" applyAlignment="1" applyProtection="1">
      <alignment horizontal="center"/>
      <protection locked="0"/>
    </xf>
    <xf numFmtId="0" fontId="1" fillId="2" borderId="12"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4" fillId="2" borderId="12" xfId="0" applyFont="1" applyFill="1" applyBorder="1" applyProtection="1">
      <protection locked="0"/>
    </xf>
    <xf numFmtId="0" fontId="4" fillId="2" borderId="16" xfId="0" applyFont="1" applyFill="1" applyBorder="1" applyProtection="1">
      <protection locked="0"/>
    </xf>
    <xf numFmtId="0" fontId="3" fillId="2" borderId="20" xfId="0" applyFont="1" applyFill="1" applyBorder="1" applyProtection="1">
      <protection locked="0"/>
    </xf>
    <xf numFmtId="0" fontId="4" fillId="2" borderId="20" xfId="0" applyFont="1" applyFill="1" applyBorder="1" applyProtection="1">
      <protection locked="0"/>
    </xf>
    <xf numFmtId="0" fontId="4" fillId="2" borderId="21" xfId="0" applyFont="1" applyFill="1" applyBorder="1" applyProtection="1">
      <protection locked="0"/>
    </xf>
    <xf numFmtId="0" fontId="2" fillId="2" borderId="22" xfId="0" applyFont="1" applyFill="1" applyBorder="1" applyProtection="1">
      <protection locked="0"/>
    </xf>
    <xf numFmtId="0" fontId="1" fillId="2" borderId="20" xfId="0" applyFont="1" applyFill="1" applyBorder="1" applyProtection="1">
      <protection locked="0"/>
    </xf>
    <xf numFmtId="0" fontId="1" fillId="2" borderId="21" xfId="0" applyFont="1" applyFill="1" applyBorder="1" applyProtection="1">
      <protection locked="0"/>
    </xf>
    <xf numFmtId="0" fontId="3" fillId="2" borderId="22" xfId="0" applyFont="1" applyFill="1" applyBorder="1" applyProtection="1">
      <protection locked="0"/>
    </xf>
    <xf numFmtId="0" fontId="3" fillId="2" borderId="21" xfId="0" applyFont="1" applyFill="1" applyBorder="1" applyProtection="1">
      <protection locked="0"/>
    </xf>
    <xf numFmtId="0" fontId="19" fillId="3" borderId="2" xfId="0" applyFont="1" applyFill="1" applyBorder="1" applyAlignment="1" applyProtection="1">
      <alignment wrapText="1"/>
      <protection locked="0"/>
    </xf>
    <xf numFmtId="0" fontId="19" fillId="3" borderId="62" xfId="0" applyFont="1" applyFill="1" applyBorder="1" applyAlignment="1" applyProtection="1">
      <alignment wrapText="1"/>
      <protection locked="0"/>
    </xf>
    <xf numFmtId="0" fontId="19" fillId="3" borderId="18" xfId="0" applyFont="1" applyFill="1" applyBorder="1" applyAlignment="1" applyProtection="1">
      <alignment wrapText="1"/>
      <protection locked="0"/>
    </xf>
    <xf numFmtId="0" fontId="19" fillId="3" borderId="65" xfId="0" applyFont="1" applyFill="1" applyBorder="1" applyAlignment="1" applyProtection="1">
      <alignment wrapText="1"/>
      <protection locked="0"/>
    </xf>
    <xf numFmtId="164" fontId="2" fillId="4" borderId="5" xfId="0" applyNumberFormat="1" applyFont="1" applyFill="1" applyBorder="1" applyAlignment="1">
      <alignment shrinkToFit="1"/>
    </xf>
    <xf numFmtId="164" fontId="0" fillId="4" borderId="67" xfId="0" applyNumberFormat="1" applyFill="1" applyBorder="1" applyAlignment="1">
      <alignment shrinkToFit="1"/>
    </xf>
    <xf numFmtId="0" fontId="2" fillId="3" borderId="4" xfId="0" applyFont="1" applyFill="1" applyBorder="1"/>
    <xf numFmtId="0" fontId="0" fillId="3" borderId="4" xfId="0" applyFill="1" applyBorder="1"/>
    <xf numFmtId="0" fontId="0" fillId="3" borderId="8" xfId="0" applyFill="1" applyBorder="1"/>
    <xf numFmtId="0" fontId="2" fillId="4" borderId="55" xfId="0" applyFont="1" applyFill="1" applyBorder="1"/>
    <xf numFmtId="0" fontId="0" fillId="4" borderId="4" xfId="0" applyFill="1" applyBorder="1"/>
    <xf numFmtId="0" fontId="0" fillId="4" borderId="8" xfId="0" applyFill="1" applyBorder="1"/>
    <xf numFmtId="0" fontId="2" fillId="3" borderId="5" xfId="0" applyFont="1" applyFill="1" applyBorder="1" applyAlignment="1" applyProtection="1">
      <alignment shrinkToFit="1"/>
      <protection locked="0"/>
    </xf>
    <xf numFmtId="0" fontId="0" fillId="3" borderId="4" xfId="0" applyFill="1" applyBorder="1" applyAlignment="1" applyProtection="1">
      <alignment shrinkToFit="1"/>
      <protection locked="0"/>
    </xf>
    <xf numFmtId="0" fontId="2" fillId="2" borderId="1" xfId="0" applyFont="1" applyFill="1" applyBorder="1" applyAlignment="1" applyProtection="1">
      <alignment wrapText="1"/>
      <protection locked="0"/>
    </xf>
    <xf numFmtId="0" fontId="1" fillId="2" borderId="2" xfId="0" applyFont="1" applyFill="1" applyBorder="1" applyProtection="1">
      <protection locked="0"/>
    </xf>
    <xf numFmtId="0" fontId="1" fillId="2" borderId="3" xfId="0" applyFont="1" applyFill="1" applyBorder="1" applyProtection="1">
      <protection locked="0"/>
    </xf>
    <xf numFmtId="0" fontId="1" fillId="2" borderId="9" xfId="0" applyFont="1" applyFill="1" applyBorder="1" applyProtection="1">
      <protection locked="0"/>
    </xf>
    <xf numFmtId="0" fontId="1" fillId="2" borderId="0" xfId="0" applyFont="1" applyFill="1" applyProtection="1">
      <protection locked="0"/>
    </xf>
    <xf numFmtId="0" fontId="1" fillId="2" borderId="10" xfId="0" applyFont="1" applyFill="1" applyBorder="1" applyProtection="1">
      <protection locked="0"/>
    </xf>
    <xf numFmtId="0" fontId="1" fillId="2" borderId="17" xfId="0" applyFont="1" applyFill="1" applyBorder="1" applyProtection="1">
      <protection locked="0"/>
    </xf>
    <xf numFmtId="0" fontId="1" fillId="2" borderId="18" xfId="0" applyFont="1" applyFill="1" applyBorder="1" applyProtection="1">
      <protection locked="0"/>
    </xf>
    <xf numFmtId="0" fontId="1" fillId="2" borderId="19" xfId="0" applyFont="1" applyFill="1" applyBorder="1" applyProtection="1">
      <protection locked="0"/>
    </xf>
    <xf numFmtId="0" fontId="3" fillId="2" borderId="4" xfId="0" applyFont="1" applyFill="1" applyBorder="1" applyProtection="1">
      <protection locked="0"/>
    </xf>
    <xf numFmtId="0" fontId="4" fillId="2" borderId="4" xfId="0" applyFont="1" applyFill="1" applyBorder="1" applyProtection="1">
      <protection locked="0"/>
    </xf>
    <xf numFmtId="0" fontId="1" fillId="2" borderId="5" xfId="0" applyFont="1" applyFill="1" applyBorder="1" applyProtection="1">
      <protection locked="0"/>
    </xf>
    <xf numFmtId="0" fontId="1" fillId="2" borderId="4" xfId="0" applyFont="1" applyFill="1" applyBorder="1" applyProtection="1">
      <protection locked="0"/>
    </xf>
    <xf numFmtId="0" fontId="1" fillId="2" borderId="6" xfId="0" applyFont="1" applyFill="1" applyBorder="1" applyProtection="1">
      <protection locked="0"/>
    </xf>
    <xf numFmtId="0" fontId="3" fillId="2" borderId="7" xfId="0" applyFont="1" applyFill="1" applyBorder="1" applyProtection="1">
      <protection locked="0"/>
    </xf>
    <xf numFmtId="0" fontId="4" fillId="2" borderId="8" xfId="0" applyFont="1" applyFill="1" applyBorder="1" applyProtection="1">
      <protection locked="0"/>
    </xf>
    <xf numFmtId="0" fontId="2" fillId="3" borderId="14" xfId="0" applyFont="1" applyFill="1" applyBorder="1" applyAlignment="1" applyProtection="1">
      <alignment shrinkToFit="1"/>
      <protection locked="0"/>
    </xf>
    <xf numFmtId="0" fontId="0" fillId="3" borderId="12" xfId="0" applyFill="1" applyBorder="1" applyAlignment="1" applyProtection="1">
      <alignment shrinkToFit="1"/>
      <protection locked="0"/>
    </xf>
    <xf numFmtId="0" fontId="2" fillId="3" borderId="12" xfId="0" applyFont="1" applyFill="1" applyBorder="1"/>
    <xf numFmtId="0" fontId="0" fillId="3" borderId="12" xfId="0" applyFill="1" applyBorder="1"/>
    <xf numFmtId="0" fontId="0" fillId="3" borderId="16" xfId="0" applyFill="1" applyBorder="1"/>
    <xf numFmtId="0" fontId="2" fillId="3" borderId="64" xfId="0" applyFont="1" applyFill="1" applyBorder="1" applyProtection="1">
      <protection locked="0"/>
    </xf>
    <xf numFmtId="0" fontId="0" fillId="3" borderId="56" xfId="0" applyFill="1" applyBorder="1" applyProtection="1">
      <protection locked="0"/>
    </xf>
    <xf numFmtId="0" fontId="19" fillId="3" borderId="66" xfId="0" applyFont="1" applyFill="1" applyBorder="1" applyAlignment="1" applyProtection="1">
      <alignment wrapText="1"/>
      <protection locked="0"/>
    </xf>
    <xf numFmtId="165" fontId="2" fillId="4" borderId="5" xfId="0" applyNumberFormat="1" applyFont="1" applyFill="1" applyBorder="1" applyAlignment="1">
      <alignment shrinkToFit="1"/>
    </xf>
    <xf numFmtId="165" fontId="0" fillId="4" borderId="67" xfId="0" applyNumberFormat="1" applyFill="1" applyBorder="1" applyAlignment="1">
      <alignment shrinkToFit="1"/>
    </xf>
    <xf numFmtId="0" fontId="2" fillId="3" borderId="20" xfId="0" applyFont="1" applyFill="1" applyBorder="1"/>
    <xf numFmtId="0" fontId="0" fillId="3" borderId="20" xfId="0" applyFill="1" applyBorder="1"/>
    <xf numFmtId="0" fontId="0" fillId="3" borderId="25" xfId="0" applyFill="1" applyBorder="1"/>
    <xf numFmtId="0" fontId="0" fillId="4" borderId="52" xfId="0" applyFill="1" applyBorder="1" applyAlignment="1" applyProtection="1">
      <alignment shrinkToFit="1"/>
      <protection locked="0"/>
    </xf>
    <xf numFmtId="0" fontId="0" fillId="0" borderId="54" xfId="0" applyBorder="1" applyAlignment="1" applyProtection="1">
      <alignment shrinkToFit="1"/>
      <protection locked="0"/>
    </xf>
    <xf numFmtId="0" fontId="0" fillId="0" borderId="2" xfId="0" applyBorder="1" applyAlignment="1" applyProtection="1">
      <alignment shrinkToFit="1"/>
      <protection locked="0"/>
    </xf>
    <xf numFmtId="0" fontId="0" fillId="0" borderId="53" xfId="0" applyBorder="1" applyAlignment="1" applyProtection="1">
      <alignment shrinkToFit="1"/>
      <protection locked="0"/>
    </xf>
    <xf numFmtId="0" fontId="2" fillId="3" borderId="30" xfId="0" applyFont="1" applyFill="1" applyBorder="1" applyAlignment="1" applyProtection="1">
      <alignment shrinkToFit="1"/>
      <protection locked="0"/>
    </xf>
    <xf numFmtId="0" fontId="0" fillId="3" borderId="50" xfId="0" applyFill="1" applyBorder="1" applyAlignment="1" applyProtection="1">
      <alignment shrinkToFit="1"/>
      <protection locked="0"/>
    </xf>
    <xf numFmtId="0" fontId="2" fillId="3" borderId="50" xfId="0" applyFont="1" applyFill="1" applyBorder="1" applyProtection="1">
      <protection locked="0"/>
    </xf>
    <xf numFmtId="0" fontId="0" fillId="3" borderId="50" xfId="0" applyFill="1" applyBorder="1" applyProtection="1">
      <protection locked="0"/>
    </xf>
    <xf numFmtId="0" fontId="2" fillId="3" borderId="55" xfId="0" applyFont="1" applyFill="1" applyBorder="1" applyAlignment="1" applyProtection="1">
      <alignment shrinkToFit="1"/>
      <protection locked="0"/>
    </xf>
    <xf numFmtId="0" fontId="0" fillId="0" borderId="4" xfId="0" applyBorder="1" applyAlignment="1" applyProtection="1">
      <alignment shrinkToFit="1"/>
      <protection locked="0"/>
    </xf>
    <xf numFmtId="0" fontId="0" fillId="0" borderId="8" xfId="0" applyBorder="1" applyAlignment="1" applyProtection="1">
      <alignment shrinkToFit="1"/>
      <protection locked="0"/>
    </xf>
    <xf numFmtId="0" fontId="2" fillId="3" borderId="55" xfId="0" applyFont="1" applyFill="1" applyBorder="1" applyProtection="1">
      <protection locked="0"/>
    </xf>
    <xf numFmtId="0" fontId="0" fillId="3" borderId="4" xfId="0" applyFill="1" applyBorder="1" applyProtection="1">
      <protection locked="0"/>
    </xf>
    <xf numFmtId="0" fontId="0" fillId="3" borderId="67" xfId="0" applyFill="1" applyBorder="1" applyProtection="1">
      <protection locked="0"/>
    </xf>
    <xf numFmtId="0" fontId="1" fillId="2" borderId="22" xfId="0" applyFont="1" applyFill="1" applyBorder="1" applyProtection="1">
      <protection locked="0"/>
    </xf>
    <xf numFmtId="0" fontId="1" fillId="2" borderId="23" xfId="0" applyFont="1" applyFill="1" applyBorder="1" applyProtection="1">
      <protection locked="0"/>
    </xf>
    <xf numFmtId="0" fontId="1" fillId="2" borderId="24" xfId="0" applyFont="1" applyFill="1" applyBorder="1" applyProtection="1">
      <protection locked="0"/>
    </xf>
    <xf numFmtId="0" fontId="1" fillId="2" borderId="25" xfId="0" applyFont="1" applyFill="1" applyBorder="1" applyProtection="1">
      <protection locked="0"/>
    </xf>
    <xf numFmtId="0" fontId="2" fillId="3" borderId="22" xfId="0" applyFont="1" applyFill="1" applyBorder="1" applyAlignment="1" applyProtection="1">
      <alignment shrinkToFit="1"/>
      <protection locked="0"/>
    </xf>
    <xf numFmtId="0" fontId="0" fillId="3" borderId="20" xfId="0" applyFill="1" applyBorder="1" applyAlignment="1" applyProtection="1">
      <alignment shrinkToFit="1"/>
      <protection locked="0"/>
    </xf>
    <xf numFmtId="0" fontId="2" fillId="4" borderId="55" xfId="0" applyFont="1" applyFill="1" applyBorder="1" applyProtection="1">
      <protection locked="0"/>
    </xf>
    <xf numFmtId="0" fontId="0" fillId="4" borderId="4" xfId="0" applyFill="1" applyBorder="1" applyProtection="1">
      <protection locked="0"/>
    </xf>
    <xf numFmtId="0" fontId="0" fillId="4" borderId="8" xfId="0" applyFill="1" applyBorder="1" applyProtection="1">
      <protection locked="0"/>
    </xf>
    <xf numFmtId="0" fontId="2" fillId="3" borderId="4" xfId="0" applyFont="1" applyFill="1" applyBorder="1" applyProtection="1">
      <protection locked="0"/>
    </xf>
    <xf numFmtId="0" fontId="0" fillId="3" borderId="8" xfId="0" applyFill="1" applyBorder="1" applyProtection="1">
      <protection locked="0"/>
    </xf>
    <xf numFmtId="164" fontId="2" fillId="4" borderId="55" xfId="0" applyNumberFormat="1" applyFont="1" applyFill="1" applyBorder="1" applyAlignment="1">
      <alignment shrinkToFit="1"/>
    </xf>
    <xf numFmtId="0" fontId="2" fillId="3" borderId="43" xfId="0" applyFont="1" applyFill="1" applyBorder="1" applyAlignment="1" applyProtection="1">
      <alignment wrapText="1"/>
      <protection locked="0"/>
    </xf>
    <xf numFmtId="0" fontId="0" fillId="3" borderId="63" xfId="0" applyFill="1" applyBorder="1" applyAlignment="1" applyProtection="1">
      <alignment wrapText="1"/>
      <protection locked="0"/>
    </xf>
    <xf numFmtId="0" fontId="0" fillId="3" borderId="66" xfId="0" applyFill="1" applyBorder="1" applyAlignment="1" applyProtection="1">
      <alignment wrapText="1"/>
      <protection locked="0"/>
    </xf>
    <xf numFmtId="0" fontId="0" fillId="3" borderId="59" xfId="0" applyFill="1" applyBorder="1" applyAlignment="1" applyProtection="1">
      <alignment wrapText="1"/>
      <protection locked="0"/>
    </xf>
    <xf numFmtId="2" fontId="0" fillId="4" borderId="8" xfId="0" applyNumberFormat="1" applyFill="1" applyBorder="1" applyAlignment="1" applyProtection="1">
      <alignment shrinkToFit="1"/>
      <protection locked="0"/>
    </xf>
    <xf numFmtId="0" fontId="2" fillId="4" borderId="45" xfId="0" applyFont="1" applyFill="1" applyBorder="1" applyAlignment="1" applyProtection="1">
      <alignment shrinkToFit="1"/>
      <protection locked="0"/>
    </xf>
    <xf numFmtId="0" fontId="0" fillId="4" borderId="46" xfId="0" applyFill="1" applyBorder="1" applyAlignment="1" applyProtection="1">
      <alignment shrinkToFit="1"/>
      <protection locked="0"/>
    </xf>
    <xf numFmtId="0" fontId="2" fillId="4" borderId="43" xfId="0" applyFont="1" applyFill="1" applyBorder="1" applyAlignment="1" applyProtection="1">
      <alignment shrinkToFit="1"/>
      <protection locked="0"/>
    </xf>
    <xf numFmtId="0" fontId="0" fillId="4" borderId="2" xfId="0" applyFill="1" applyBorder="1" applyAlignment="1" applyProtection="1">
      <alignment shrinkToFit="1"/>
      <protection locked="0"/>
    </xf>
    <xf numFmtId="0" fontId="2" fillId="3" borderId="43" xfId="0" applyFont="1" applyFill="1" applyBorder="1" applyAlignment="1" applyProtection="1">
      <alignment shrinkToFit="1"/>
      <protection locked="0"/>
    </xf>
    <xf numFmtId="0" fontId="0" fillId="3" borderId="62" xfId="0" applyFill="1" applyBorder="1" applyAlignment="1" applyProtection="1">
      <alignment shrinkToFit="1"/>
      <protection locked="0"/>
    </xf>
    <xf numFmtId="0" fontId="0" fillId="3" borderId="66" xfId="0" applyFill="1" applyBorder="1" applyAlignment="1" applyProtection="1">
      <alignment shrinkToFit="1"/>
      <protection locked="0"/>
    </xf>
    <xf numFmtId="0" fontId="0" fillId="3" borderId="65" xfId="0" applyFill="1" applyBorder="1" applyAlignment="1" applyProtection="1">
      <alignment shrinkToFit="1"/>
      <protection locked="0"/>
    </xf>
    <xf numFmtId="0" fontId="2" fillId="3" borderId="1" xfId="0" applyFont="1" applyFill="1" applyBorder="1" applyAlignment="1" applyProtection="1">
      <alignment shrinkToFit="1"/>
      <protection locked="0"/>
    </xf>
    <xf numFmtId="0" fontId="0" fillId="3" borderId="63" xfId="0" applyFill="1" applyBorder="1" applyAlignment="1" applyProtection="1">
      <alignment shrinkToFit="1"/>
      <protection locked="0"/>
    </xf>
    <xf numFmtId="0" fontId="0" fillId="3" borderId="17" xfId="0" applyFill="1" applyBorder="1" applyAlignment="1" applyProtection="1">
      <alignment shrinkToFit="1"/>
      <protection locked="0"/>
    </xf>
    <xf numFmtId="0" fontId="0" fillId="3" borderId="59" xfId="0" applyFill="1" applyBorder="1" applyAlignment="1" applyProtection="1">
      <alignment shrinkToFit="1"/>
      <protection locked="0"/>
    </xf>
    <xf numFmtId="2" fontId="2" fillId="4" borderId="5" xfId="0" applyNumberFormat="1" applyFont="1" applyFill="1" applyBorder="1" applyAlignment="1">
      <alignment shrinkToFit="1"/>
    </xf>
    <xf numFmtId="2" fontId="0" fillId="4" borderId="67" xfId="0" applyNumberFormat="1" applyFill="1" applyBorder="1" applyAlignment="1">
      <alignment shrinkToFit="1"/>
    </xf>
    <xf numFmtId="2" fontId="0" fillId="4" borderId="16" xfId="0" applyNumberFormat="1" applyFill="1" applyBorder="1" applyAlignment="1" applyProtection="1">
      <alignment shrinkToFit="1"/>
      <protection locked="0"/>
    </xf>
    <xf numFmtId="0" fontId="2" fillId="3" borderId="26" xfId="0" applyFont="1" applyFill="1" applyBorder="1" applyProtection="1">
      <protection locked="0"/>
    </xf>
    <xf numFmtId="0" fontId="0" fillId="3" borderId="27" xfId="0" applyFill="1" applyBorder="1" applyProtection="1">
      <protection locked="0"/>
    </xf>
    <xf numFmtId="0" fontId="0" fillId="3" borderId="32" xfId="0" applyFill="1" applyBorder="1" applyProtection="1">
      <protection locked="0"/>
    </xf>
    <xf numFmtId="0" fontId="2" fillId="3" borderId="33" xfId="0" applyFont="1" applyFill="1" applyBorder="1" applyProtection="1">
      <protection locked="0"/>
    </xf>
    <xf numFmtId="0" fontId="0" fillId="3" borderId="34" xfId="0" applyFill="1" applyBorder="1" applyProtection="1">
      <protection locked="0"/>
    </xf>
    <xf numFmtId="0" fontId="0" fillId="3" borderId="37" xfId="0" applyFill="1" applyBorder="1" applyProtection="1">
      <protection locked="0"/>
    </xf>
    <xf numFmtId="164" fontId="2" fillId="3" borderId="14" xfId="0" applyNumberFormat="1" applyFont="1" applyFill="1" applyBorder="1"/>
    <xf numFmtId="164" fontId="0" fillId="3" borderId="12" xfId="0" applyNumberFormat="1" applyFill="1" applyBorder="1"/>
    <xf numFmtId="164" fontId="0" fillId="3" borderId="13" xfId="0" applyNumberFormat="1" applyFill="1" applyBorder="1"/>
    <xf numFmtId="4" fontId="2" fillId="3" borderId="12" xfId="0" applyNumberFormat="1" applyFont="1" applyFill="1" applyBorder="1"/>
    <xf numFmtId="4" fontId="0" fillId="3" borderId="13" xfId="0" applyNumberFormat="1" applyFill="1" applyBorder="1"/>
    <xf numFmtId="4" fontId="2" fillId="3" borderId="20" xfId="0" applyNumberFormat="1" applyFont="1" applyFill="1" applyBorder="1"/>
    <xf numFmtId="4" fontId="0" fillId="3" borderId="21" xfId="0" applyNumberFormat="1" applyFill="1" applyBorder="1"/>
    <xf numFmtId="164" fontId="2" fillId="3" borderId="22" xfId="0" applyNumberFormat="1" applyFont="1" applyFill="1" applyBorder="1"/>
    <xf numFmtId="164" fontId="0" fillId="3" borderId="20" xfId="0" applyNumberFormat="1" applyFill="1" applyBorder="1"/>
    <xf numFmtId="164" fontId="0" fillId="3" borderId="21" xfId="0" applyNumberFormat="1" applyFill="1" applyBorder="1"/>
    <xf numFmtId="0" fontId="2" fillId="4" borderId="22" xfId="0" applyFont="1" applyFill="1" applyBorder="1" applyAlignment="1" applyProtection="1">
      <alignment shrinkToFit="1"/>
      <protection locked="0"/>
    </xf>
    <xf numFmtId="0" fontId="2" fillId="4" borderId="20" xfId="0" applyFont="1" applyFill="1" applyBorder="1" applyAlignment="1" applyProtection="1">
      <alignment shrinkToFit="1"/>
      <protection locked="0"/>
    </xf>
    <xf numFmtId="0" fontId="2" fillId="4" borderId="21" xfId="0" applyFont="1" applyFill="1" applyBorder="1" applyAlignment="1" applyProtection="1">
      <alignment shrinkToFit="1"/>
      <protection locked="0"/>
    </xf>
    <xf numFmtId="0" fontId="2" fillId="3" borderId="43" xfId="0" applyFont="1" applyFill="1" applyBorder="1" applyAlignment="1" applyProtection="1">
      <alignment wrapText="1" shrinkToFit="1"/>
      <protection locked="0"/>
    </xf>
    <xf numFmtId="0" fontId="21" fillId="3" borderId="2" xfId="0" applyFont="1" applyFill="1" applyBorder="1" applyAlignment="1" applyProtection="1">
      <alignment wrapText="1" shrinkToFit="1"/>
      <protection locked="0"/>
    </xf>
    <xf numFmtId="0" fontId="21" fillId="3" borderId="2" xfId="0" applyFont="1" applyFill="1" applyBorder="1" applyAlignment="1" applyProtection="1">
      <alignment wrapText="1"/>
      <protection locked="0"/>
    </xf>
    <xf numFmtId="0" fontId="21" fillId="3" borderId="62" xfId="0" applyFont="1" applyFill="1" applyBorder="1" applyAlignment="1" applyProtection="1">
      <alignment wrapText="1"/>
      <protection locked="0"/>
    </xf>
    <xf numFmtId="0" fontId="21" fillId="3" borderId="66" xfId="0" applyFont="1" applyFill="1" applyBorder="1" applyAlignment="1" applyProtection="1">
      <alignment wrapText="1" shrinkToFit="1"/>
      <protection locked="0"/>
    </xf>
    <xf numFmtId="0" fontId="21" fillId="3" borderId="18" xfId="0" applyFont="1" applyFill="1" applyBorder="1" applyAlignment="1" applyProtection="1">
      <alignment wrapText="1" shrinkToFit="1"/>
      <protection locked="0"/>
    </xf>
    <xf numFmtId="0" fontId="21" fillId="3" borderId="18" xfId="0" applyFont="1" applyFill="1" applyBorder="1" applyAlignment="1" applyProtection="1">
      <alignment wrapText="1"/>
      <protection locked="0"/>
    </xf>
    <xf numFmtId="0" fontId="21" fillId="3" borderId="65" xfId="0" applyFont="1" applyFill="1" applyBorder="1" applyAlignment="1" applyProtection="1">
      <alignment wrapText="1"/>
      <protection locked="0"/>
    </xf>
    <xf numFmtId="0" fontId="0" fillId="3" borderId="62" xfId="0" applyFill="1" applyBorder="1" applyAlignment="1" applyProtection="1">
      <alignment wrapText="1"/>
      <protection locked="0"/>
    </xf>
    <xf numFmtId="0" fontId="0" fillId="3" borderId="65" xfId="0" applyFill="1" applyBorder="1" applyAlignment="1" applyProtection="1">
      <alignment wrapText="1"/>
      <protection locked="0"/>
    </xf>
    <xf numFmtId="0" fontId="18" fillId="3" borderId="43" xfId="0" applyFont="1" applyFill="1" applyBorder="1" applyAlignment="1" applyProtection="1">
      <alignment wrapText="1" shrinkToFit="1"/>
      <protection locked="0"/>
    </xf>
    <xf numFmtId="0" fontId="19" fillId="3" borderId="62" xfId="0" applyFont="1" applyFill="1" applyBorder="1" applyAlignment="1" applyProtection="1">
      <alignment wrapText="1" shrinkToFit="1"/>
      <protection locked="0"/>
    </xf>
    <xf numFmtId="0" fontId="19" fillId="3" borderId="66" xfId="0" applyFont="1" applyFill="1" applyBorder="1" applyAlignment="1" applyProtection="1">
      <alignment wrapText="1" shrinkToFit="1"/>
      <protection locked="0"/>
    </xf>
    <xf numFmtId="0" fontId="19" fillId="3" borderId="65" xfId="0" applyFont="1" applyFill="1" applyBorder="1" applyAlignment="1" applyProtection="1">
      <alignment wrapText="1" shrinkToFit="1"/>
      <protection locked="0"/>
    </xf>
    <xf numFmtId="2" fontId="2" fillId="4" borderId="25" xfId="0" applyNumberFormat="1" applyFont="1" applyFill="1" applyBorder="1" applyAlignment="1" applyProtection="1">
      <alignment shrinkToFit="1"/>
      <protection locked="0"/>
    </xf>
    <xf numFmtId="0" fontId="2" fillId="3" borderId="2" xfId="0" applyFont="1" applyFill="1" applyBorder="1" applyAlignment="1" applyProtection="1">
      <alignment wrapText="1"/>
      <protection locked="0"/>
    </xf>
    <xf numFmtId="0" fontId="0" fillId="3" borderId="18" xfId="0" applyFill="1" applyBorder="1" applyAlignment="1" applyProtection="1">
      <alignment wrapText="1"/>
      <protection locked="0"/>
    </xf>
    <xf numFmtId="0" fontId="0" fillId="3" borderId="2" xfId="0" applyFill="1" applyBorder="1" applyAlignment="1" applyProtection="1">
      <alignment wrapText="1"/>
      <protection locked="0"/>
    </xf>
    <xf numFmtId="0" fontId="23" fillId="2" borderId="68" xfId="0" applyFont="1" applyFill="1" applyBorder="1" applyProtection="1">
      <protection locked="0"/>
    </xf>
    <xf numFmtId="0" fontId="23" fillId="2" borderId="12" xfId="0" applyFont="1" applyFill="1" applyBorder="1" applyProtection="1">
      <protection locked="0"/>
    </xf>
    <xf numFmtId="0" fontId="23" fillId="2" borderId="13" xfId="0" applyFont="1" applyFill="1" applyBorder="1" applyProtection="1">
      <protection locked="0"/>
    </xf>
    <xf numFmtId="0" fontId="17" fillId="3" borderId="2" xfId="0" applyFont="1" applyFill="1" applyBorder="1" applyAlignment="1" applyProtection="1">
      <alignment wrapText="1"/>
      <protection locked="0"/>
    </xf>
    <xf numFmtId="4" fontId="2" fillId="3" borderId="50" xfId="0" applyNumberFormat="1" applyFont="1" applyFill="1" applyBorder="1"/>
    <xf numFmtId="4" fontId="0" fillId="3" borderId="29" xfId="0" applyNumberFormat="1" applyFill="1" applyBorder="1"/>
    <xf numFmtId="164" fontId="2" fillId="3" borderId="30" xfId="0" applyNumberFormat="1" applyFont="1" applyFill="1" applyBorder="1"/>
    <xf numFmtId="164" fontId="0" fillId="3" borderId="50" xfId="0" applyNumberFormat="1" applyFill="1" applyBorder="1"/>
    <xf numFmtId="164" fontId="0" fillId="3" borderId="29" xfId="0" applyNumberFormat="1" applyFill="1" applyBorder="1"/>
    <xf numFmtId="164" fontId="0" fillId="3" borderId="56" xfId="0" applyNumberFormat="1" applyFill="1" applyBorder="1"/>
    <xf numFmtId="164" fontId="0" fillId="3" borderId="16" xfId="0" applyNumberFormat="1" applyFill="1" applyBorder="1"/>
    <xf numFmtId="164" fontId="2" fillId="3" borderId="30" xfId="0" applyNumberFormat="1" applyFont="1" applyFill="1" applyBorder="1" applyProtection="1">
      <protection locked="0"/>
    </xf>
    <xf numFmtId="164" fontId="0" fillId="3" borderId="50" xfId="0" applyNumberFormat="1" applyFill="1" applyBorder="1" applyProtection="1">
      <protection locked="0"/>
    </xf>
    <xf numFmtId="164" fontId="0" fillId="3" borderId="29" xfId="0" applyNumberFormat="1" applyFill="1" applyBorder="1" applyProtection="1">
      <protection locked="0"/>
    </xf>
    <xf numFmtId="164" fontId="0" fillId="3" borderId="56" xfId="0" applyNumberFormat="1" applyFill="1" applyBorder="1" applyProtection="1">
      <protection locked="0"/>
    </xf>
    <xf numFmtId="164" fontId="2" fillId="3" borderId="27" xfId="0" applyNumberFormat="1" applyFont="1" applyFill="1" applyBorder="1"/>
    <xf numFmtId="164" fontId="0" fillId="3" borderId="27" xfId="0" applyNumberFormat="1" applyFill="1" applyBorder="1"/>
    <xf numFmtId="164" fontId="0" fillId="3" borderId="32" xfId="0" applyNumberFormat="1" applyFill="1" applyBorder="1"/>
    <xf numFmtId="0" fontId="24" fillId="0" borderId="12" xfId="0" applyFont="1" applyBorder="1" applyProtection="1">
      <protection locked="0"/>
    </xf>
    <xf numFmtId="0" fontId="24" fillId="0" borderId="13" xfId="0" applyFont="1" applyBorder="1" applyProtection="1">
      <protection locked="0"/>
    </xf>
    <xf numFmtId="3" fontId="2" fillId="3" borderId="29" xfId="0" applyNumberFormat="1" applyFont="1" applyFill="1" applyBorder="1" applyAlignment="1">
      <alignment shrinkToFit="1"/>
    </xf>
    <xf numFmtId="3" fontId="0" fillId="0" borderId="27" xfId="0" applyNumberFormat="1" applyBorder="1" applyAlignment="1">
      <alignment shrinkToFit="1"/>
    </xf>
    <xf numFmtId="166" fontId="2" fillId="3" borderId="27" xfId="0" applyNumberFormat="1" applyFont="1" applyFill="1" applyBorder="1" applyAlignment="1">
      <alignment shrinkToFit="1"/>
    </xf>
    <xf numFmtId="166" fontId="0" fillId="0" borderId="27" xfId="0" applyNumberFormat="1" applyBorder="1" applyAlignment="1">
      <alignment shrinkToFit="1"/>
    </xf>
    <xf numFmtId="164" fontId="2" fillId="3" borderId="12" xfId="0" applyNumberFormat="1" applyFont="1" applyFill="1" applyBorder="1"/>
    <xf numFmtId="164" fontId="2" fillId="3" borderId="16" xfId="0" applyNumberFormat="1" applyFont="1" applyFill="1" applyBorder="1"/>
    <xf numFmtId="164" fontId="0" fillId="3" borderId="25" xfId="0" applyNumberFormat="1" applyFill="1" applyBorder="1"/>
    <xf numFmtId="0" fontId="0" fillId="3" borderId="2" xfId="0" applyFill="1" applyBorder="1" applyAlignment="1" applyProtection="1">
      <alignment shrinkToFit="1"/>
      <protection locked="0"/>
    </xf>
    <xf numFmtId="0" fontId="0" fillId="3" borderId="18" xfId="0" applyFill="1" applyBorder="1" applyAlignment="1" applyProtection="1">
      <alignment shrinkToFit="1"/>
      <protection locked="0"/>
    </xf>
    <xf numFmtId="0" fontId="2" fillId="3" borderId="69" xfId="0" applyFont="1" applyFill="1" applyBorder="1" applyAlignment="1" applyProtection="1">
      <alignment shrinkToFit="1"/>
      <protection locked="0"/>
    </xf>
    <xf numFmtId="0" fontId="0" fillId="3" borderId="70" xfId="0" applyFill="1" applyBorder="1" applyAlignment="1" applyProtection="1">
      <alignment shrinkToFit="1"/>
      <protection locked="0"/>
    </xf>
    <xf numFmtId="0" fontId="0" fillId="3" borderId="71"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39" xfId="0" applyFill="1" applyBorder="1" applyAlignment="1" applyProtection="1">
      <alignment shrinkToFit="1"/>
      <protection locked="0"/>
    </xf>
    <xf numFmtId="0" fontId="0" fillId="3" borderId="42" xfId="0" applyFill="1" applyBorder="1" applyAlignment="1" applyProtection="1">
      <alignment shrinkToFit="1"/>
      <protection locked="0"/>
    </xf>
    <xf numFmtId="0" fontId="2" fillId="3" borderId="70" xfId="0" applyFont="1" applyFill="1" applyBorder="1" applyProtection="1">
      <protection locked="0"/>
    </xf>
    <xf numFmtId="0" fontId="0" fillId="3" borderId="70" xfId="0" applyFill="1" applyBorder="1" applyProtection="1">
      <protection locked="0"/>
    </xf>
    <xf numFmtId="0" fontId="0" fillId="3" borderId="39" xfId="0" applyFill="1" applyBorder="1" applyProtection="1">
      <protection locked="0"/>
    </xf>
    <xf numFmtId="0" fontId="2" fillId="3" borderId="70" xfId="0" applyFont="1" applyFill="1" applyBorder="1" applyAlignment="1" applyProtection="1">
      <alignment wrapText="1"/>
      <protection locked="0"/>
    </xf>
    <xf numFmtId="0" fontId="0" fillId="3" borderId="70" xfId="0" applyFill="1" applyBorder="1" applyAlignment="1" applyProtection="1">
      <alignment wrapText="1"/>
      <protection locked="0"/>
    </xf>
    <xf numFmtId="0" fontId="0" fillId="3" borderId="71"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2" xfId="0" applyFill="1" applyBorder="1" applyAlignment="1" applyProtection="1">
      <alignment wrapText="1"/>
      <protection locked="0"/>
    </xf>
    <xf numFmtId="0" fontId="17" fillId="3" borderId="67" xfId="0" applyFont="1" applyFill="1" applyBorder="1" applyAlignment="1" applyProtection="1">
      <alignment wrapText="1"/>
      <protection locked="0"/>
    </xf>
    <xf numFmtId="0" fontId="0" fillId="0" borderId="70" xfId="0" applyBorder="1" applyAlignment="1" applyProtection="1">
      <alignment wrapText="1"/>
      <protection locked="0"/>
    </xf>
    <xf numFmtId="0" fontId="0" fillId="3" borderId="21" xfId="0" applyFill="1" applyBorder="1" applyAlignment="1" applyProtection="1">
      <alignment wrapText="1"/>
      <protection locked="0"/>
    </xf>
    <xf numFmtId="0" fontId="0" fillId="0" borderId="39" xfId="0" applyBorder="1" applyAlignment="1" applyProtection="1">
      <alignment wrapText="1"/>
      <protection locked="0"/>
    </xf>
    <xf numFmtId="0" fontId="17" fillId="3" borderId="70" xfId="0" applyFont="1" applyFill="1" applyBorder="1" applyAlignment="1" applyProtection="1">
      <alignment wrapText="1"/>
      <protection locked="0"/>
    </xf>
    <xf numFmtId="164" fontId="2" fillId="3" borderId="12" xfId="0" applyNumberFormat="1" applyFont="1" applyFill="1" applyBorder="1" applyProtection="1">
      <protection locked="0"/>
    </xf>
    <xf numFmtId="164" fontId="2" fillId="3" borderId="16" xfId="0" applyNumberFormat="1" applyFont="1" applyFill="1" applyBorder="1" applyProtection="1">
      <protection locked="0"/>
    </xf>
    <xf numFmtId="164" fontId="2" fillId="3" borderId="34" xfId="0" applyNumberFormat="1" applyFont="1" applyFill="1" applyBorder="1"/>
    <xf numFmtId="164" fontId="0" fillId="3" borderId="34" xfId="0" applyNumberFormat="1" applyFill="1" applyBorder="1"/>
    <xf numFmtId="164" fontId="0" fillId="3" borderId="37" xfId="0" applyNumberFormat="1" applyFill="1" applyBorder="1"/>
    <xf numFmtId="3" fontId="2" fillId="3" borderId="13" xfId="0" applyNumberFormat="1" applyFont="1" applyFill="1" applyBorder="1" applyAlignment="1">
      <alignment shrinkToFit="1"/>
    </xf>
    <xf numFmtId="3" fontId="0" fillId="0" borderId="34" xfId="0" applyNumberFormat="1" applyBorder="1" applyAlignment="1">
      <alignment shrinkToFit="1"/>
    </xf>
    <xf numFmtId="166" fontId="2" fillId="3" borderId="34" xfId="0" applyNumberFormat="1" applyFont="1" applyFill="1" applyBorder="1" applyAlignment="1">
      <alignment shrinkToFit="1"/>
    </xf>
    <xf numFmtId="166" fontId="0" fillId="0" borderId="34" xfId="0" applyNumberFormat="1" applyBorder="1" applyAlignment="1">
      <alignment shrinkToFit="1"/>
    </xf>
    <xf numFmtId="3" fontId="2" fillId="3" borderId="21" xfId="0" applyNumberFormat="1" applyFont="1" applyFill="1" applyBorder="1" applyAlignment="1">
      <alignment shrinkToFit="1"/>
    </xf>
    <xf numFmtId="3" fontId="0" fillId="0" borderId="39" xfId="0" applyNumberFormat="1" applyBorder="1" applyAlignment="1">
      <alignment shrinkToFit="1"/>
    </xf>
    <xf numFmtId="166" fontId="2" fillId="3" borderId="39" xfId="0" applyNumberFormat="1" applyFont="1" applyFill="1" applyBorder="1" applyAlignment="1">
      <alignment shrinkToFit="1"/>
    </xf>
    <xf numFmtId="166" fontId="0" fillId="0" borderId="39" xfId="0" applyNumberFormat="1" applyBorder="1" applyAlignment="1">
      <alignment shrinkToFit="1"/>
    </xf>
    <xf numFmtId="0" fontId="2" fillId="3" borderId="38" xfId="0" applyFont="1" applyFill="1" applyBorder="1" applyProtection="1">
      <protection locked="0"/>
    </xf>
    <xf numFmtId="0" fontId="0" fillId="3" borderId="42" xfId="0" applyFill="1" applyBorder="1" applyProtection="1">
      <protection locked="0"/>
    </xf>
    <xf numFmtId="164" fontId="2" fillId="3" borderId="39" xfId="0" applyNumberFormat="1" applyFont="1" applyFill="1" applyBorder="1"/>
    <xf numFmtId="164" fontId="0" fillId="3" borderId="39" xfId="0" applyNumberFormat="1" applyFill="1" applyBorder="1"/>
    <xf numFmtId="164" fontId="0" fillId="3" borderId="42" xfId="0" applyNumberFormat="1" applyFill="1" applyBorder="1"/>
    <xf numFmtId="0" fontId="2" fillId="2" borderId="58" xfId="1" applyFont="1" applyFill="1" applyBorder="1"/>
    <xf numFmtId="0" fontId="5" fillId="0" borderId="25" xfId="1" applyBorder="1"/>
    <xf numFmtId="0" fontId="5" fillId="0" borderId="20" xfId="1" applyBorder="1"/>
    <xf numFmtId="14" fontId="2" fillId="2" borderId="20" xfId="1" applyNumberFormat="1" applyFont="1" applyFill="1" applyBorder="1"/>
    <xf numFmtId="0" fontId="2" fillId="2" borderId="57" xfId="1" applyFont="1" applyFill="1" applyBorder="1"/>
    <xf numFmtId="0" fontId="5" fillId="0" borderId="16" xfId="1" applyBorder="1"/>
    <xf numFmtId="0" fontId="5" fillId="0" borderId="12" xfId="1" applyBorder="1"/>
    <xf numFmtId="14" fontId="2" fillId="2" borderId="12" xfId="1" applyNumberFormat="1" applyFont="1" applyFill="1" applyBorder="1"/>
    <xf numFmtId="0" fontId="1" fillId="2" borderId="24" xfId="1" applyFont="1" applyFill="1" applyBorder="1" applyProtection="1">
      <protection locked="0"/>
    </xf>
    <xf numFmtId="0" fontId="1" fillId="2" borderId="20" xfId="1" applyFont="1" applyFill="1" applyBorder="1" applyProtection="1">
      <protection locked="0"/>
    </xf>
    <xf numFmtId="0" fontId="1" fillId="2" borderId="25" xfId="1" applyFont="1" applyFill="1" applyBorder="1" applyProtection="1">
      <protection locked="0"/>
    </xf>
    <xf numFmtId="0" fontId="2" fillId="2" borderId="55" xfId="1" applyFont="1" applyFill="1" applyBorder="1"/>
    <xf numFmtId="0" fontId="5" fillId="0" borderId="8" xfId="1" applyBorder="1"/>
    <xf numFmtId="0" fontId="2" fillId="2" borderId="55" xfId="1" applyFont="1" applyFill="1" applyBorder="1" applyAlignment="1">
      <alignment horizontal="center"/>
    </xf>
    <xf numFmtId="0" fontId="5" fillId="0" borderId="4" xfId="1" applyBorder="1" applyAlignment="1">
      <alignment horizontal="center"/>
    </xf>
    <xf numFmtId="0" fontId="5" fillId="0" borderId="8" xfId="1" applyBorder="1" applyAlignment="1">
      <alignment horizontal="center"/>
    </xf>
    <xf numFmtId="14" fontId="2" fillId="2" borderId="50" xfId="1" applyNumberFormat="1" applyFont="1" applyFill="1" applyBorder="1"/>
    <xf numFmtId="0" fontId="5" fillId="0" borderId="50" xfId="1" applyBorder="1"/>
    <xf numFmtId="0" fontId="5" fillId="0" borderId="56" xfId="1" applyBorder="1"/>
    <xf numFmtId="0" fontId="2" fillId="2" borderId="45" xfId="1" applyFont="1" applyFill="1" applyBorder="1" applyAlignment="1">
      <alignment wrapText="1"/>
    </xf>
    <xf numFmtId="0" fontId="5" fillId="2" borderId="46" xfId="1" applyFill="1" applyBorder="1" applyAlignment="1">
      <alignment wrapText="1"/>
    </xf>
    <xf numFmtId="0" fontId="5" fillId="2" borderId="47" xfId="1" applyFill="1" applyBorder="1" applyAlignment="1">
      <alignment wrapText="1"/>
    </xf>
    <xf numFmtId="0" fontId="5" fillId="2" borderId="48" xfId="1" applyFill="1" applyBorder="1" applyAlignment="1">
      <alignment wrapText="1"/>
    </xf>
    <xf numFmtId="0" fontId="5" fillId="2" borderId="0" xfId="1" applyFill="1" applyAlignment="1">
      <alignment wrapText="1"/>
    </xf>
    <xf numFmtId="0" fontId="5" fillId="2" borderId="49" xfId="1" applyFill="1" applyBorder="1" applyAlignment="1">
      <alignment wrapText="1"/>
    </xf>
    <xf numFmtId="0" fontId="5" fillId="2" borderId="48" xfId="1" applyFill="1" applyBorder="1"/>
    <xf numFmtId="0" fontId="5" fillId="2" borderId="0" xfId="1" applyFill="1"/>
    <xf numFmtId="0" fontId="5" fillId="2" borderId="49" xfId="1" applyFill="1" applyBorder="1"/>
    <xf numFmtId="0" fontId="5" fillId="2" borderId="30" xfId="1" applyFill="1" applyBorder="1"/>
    <xf numFmtId="0" fontId="5" fillId="2" borderId="50" xfId="1" applyFill="1" applyBorder="1"/>
    <xf numFmtId="0" fontId="5" fillId="2" borderId="29" xfId="1" applyFill="1" applyBorder="1"/>
    <xf numFmtId="0" fontId="2" fillId="2" borderId="14" xfId="1" applyFont="1" applyFill="1" applyBorder="1"/>
    <xf numFmtId="0" fontId="5" fillId="2" borderId="12" xfId="1" applyFill="1" applyBorder="1"/>
    <xf numFmtId="0" fontId="5" fillId="2" borderId="13" xfId="1" applyFill="1" applyBorder="1"/>
    <xf numFmtId="0" fontId="5" fillId="2" borderId="30" xfId="1" applyFill="1" applyBorder="1" applyAlignment="1">
      <alignment wrapText="1"/>
    </xf>
    <xf numFmtId="0" fontId="5" fillId="2" borderId="50" xfId="1" applyFill="1" applyBorder="1" applyAlignment="1">
      <alignment wrapText="1"/>
    </xf>
    <xf numFmtId="0" fontId="5" fillId="2" borderId="29" xfId="1" applyFill="1" applyBorder="1" applyAlignment="1">
      <alignment wrapText="1"/>
    </xf>
    <xf numFmtId="0" fontId="8" fillId="0" borderId="0" xfId="1" applyFont="1"/>
    <xf numFmtId="0" fontId="3" fillId="2" borderId="52" xfId="1" applyFont="1" applyFill="1" applyBorder="1"/>
    <xf numFmtId="0" fontId="10" fillId="0" borderId="53" xfId="1" applyFont="1" applyBorder="1"/>
    <xf numFmtId="0" fontId="3" fillId="2" borderId="52" xfId="1" applyFont="1" applyFill="1" applyBorder="1" applyAlignment="1">
      <alignment horizontal="center"/>
    </xf>
    <xf numFmtId="0" fontId="10" fillId="0" borderId="54" xfId="1" applyFont="1" applyBorder="1" applyAlignment="1">
      <alignment horizontal="center"/>
    </xf>
    <xf numFmtId="0" fontId="10" fillId="0" borderId="53" xfId="1" applyFont="1" applyBorder="1" applyAlignment="1">
      <alignment horizontal="center"/>
    </xf>
    <xf numFmtId="0" fontId="3" fillId="2" borderId="52" xfId="1" applyFont="1" applyFill="1" applyBorder="1" applyAlignment="1">
      <alignment horizontal="right"/>
    </xf>
    <xf numFmtId="0" fontId="10" fillId="0" borderId="54" xfId="1" applyFont="1" applyBorder="1" applyAlignment="1">
      <alignment horizontal="right"/>
    </xf>
    <xf numFmtId="0" fontId="10" fillId="0" borderId="53" xfId="1" applyFont="1" applyBorder="1" applyAlignment="1">
      <alignment horizontal="right"/>
    </xf>
    <xf numFmtId="0" fontId="2" fillId="2" borderId="1" xfId="1" applyFont="1" applyFill="1" applyBorder="1" applyAlignment="1" applyProtection="1">
      <alignment wrapText="1"/>
      <protection locked="0"/>
    </xf>
    <xf numFmtId="0" fontId="1" fillId="2" borderId="2" xfId="1" applyFont="1" applyFill="1" applyBorder="1" applyProtection="1">
      <protection locked="0"/>
    </xf>
    <xf numFmtId="0" fontId="1" fillId="2" borderId="3" xfId="1" applyFont="1" applyFill="1" applyBorder="1" applyProtection="1">
      <protection locked="0"/>
    </xf>
    <xf numFmtId="0" fontId="1" fillId="2" borderId="9" xfId="1" applyFont="1" applyFill="1" applyBorder="1" applyProtection="1">
      <protection locked="0"/>
    </xf>
    <xf numFmtId="0" fontId="1" fillId="2" borderId="0" xfId="1" applyFont="1" applyFill="1" applyProtection="1">
      <protection locked="0"/>
    </xf>
    <xf numFmtId="0" fontId="1" fillId="2" borderId="10" xfId="1" applyFont="1" applyFill="1" applyBorder="1" applyProtection="1">
      <protection locked="0"/>
    </xf>
    <xf numFmtId="0" fontId="1" fillId="2" borderId="17" xfId="1" applyFont="1" applyFill="1" applyBorder="1" applyProtection="1">
      <protection locked="0"/>
    </xf>
    <xf numFmtId="0" fontId="1" fillId="2" borderId="18" xfId="1" applyFont="1" applyFill="1" applyBorder="1" applyProtection="1">
      <protection locked="0"/>
    </xf>
    <xf numFmtId="0" fontId="1" fillId="2" borderId="19" xfId="1" applyFont="1" applyFill="1" applyBorder="1" applyProtection="1">
      <protection locked="0"/>
    </xf>
    <xf numFmtId="0" fontId="3" fillId="2" borderId="4" xfId="1" applyFont="1" applyFill="1" applyBorder="1" applyProtection="1">
      <protection locked="0"/>
    </xf>
    <xf numFmtId="0" fontId="4" fillId="2" borderId="4" xfId="1" applyFont="1" applyFill="1" applyBorder="1" applyProtection="1">
      <protection locked="0"/>
    </xf>
    <xf numFmtId="0" fontId="1" fillId="2" borderId="5" xfId="1" applyFont="1" applyFill="1" applyBorder="1" applyProtection="1">
      <protection locked="0"/>
    </xf>
    <xf numFmtId="0" fontId="1" fillId="2" borderId="4" xfId="1" applyFont="1" applyFill="1" applyBorder="1" applyProtection="1">
      <protection locked="0"/>
    </xf>
    <xf numFmtId="0" fontId="1" fillId="2" borderId="6" xfId="1" applyFont="1" applyFill="1" applyBorder="1" applyProtection="1">
      <protection locked="0"/>
    </xf>
    <xf numFmtId="0" fontId="3" fillId="2" borderId="7" xfId="1" applyFont="1" applyFill="1" applyBorder="1" applyProtection="1">
      <protection locked="0"/>
    </xf>
    <xf numFmtId="0" fontId="4" fillId="2" borderId="8" xfId="1" applyFont="1" applyFill="1" applyBorder="1" applyProtection="1">
      <protection locked="0"/>
    </xf>
    <xf numFmtId="0" fontId="3" fillId="2" borderId="11" xfId="1" applyFont="1" applyFill="1" applyBorder="1" applyProtection="1">
      <protection locked="0"/>
    </xf>
    <xf numFmtId="0" fontId="1" fillId="2" borderId="13" xfId="1" applyFont="1" applyFill="1" applyBorder="1" applyProtection="1">
      <protection locked="0"/>
    </xf>
    <xf numFmtId="0" fontId="1" fillId="2" borderId="11" xfId="1" applyFont="1" applyFill="1" applyBorder="1" applyProtection="1">
      <protection locked="0"/>
    </xf>
    <xf numFmtId="0" fontId="1" fillId="2" borderId="16" xfId="1" applyFont="1" applyFill="1" applyBorder="1" applyProtection="1">
      <protection locked="0"/>
    </xf>
    <xf numFmtId="0" fontId="2" fillId="2" borderId="11" xfId="1" applyFont="1" applyFill="1" applyBorder="1" applyAlignment="1" applyProtection="1">
      <alignment horizontal="center"/>
      <protection locked="0"/>
    </xf>
    <xf numFmtId="0" fontId="1" fillId="2" borderId="12" xfId="1" applyFont="1" applyFill="1" applyBorder="1" applyAlignment="1" applyProtection="1">
      <alignment horizontal="center"/>
      <protection locked="0"/>
    </xf>
    <xf numFmtId="0" fontId="1" fillId="2" borderId="15" xfId="1" applyFont="1" applyFill="1" applyBorder="1" applyAlignment="1" applyProtection="1">
      <alignment horizontal="center"/>
      <protection locked="0"/>
    </xf>
    <xf numFmtId="0" fontId="4" fillId="2" borderId="12" xfId="1" applyFont="1" applyFill="1" applyBorder="1" applyProtection="1">
      <protection locked="0"/>
    </xf>
    <xf numFmtId="0" fontId="4" fillId="2" borderId="16" xfId="1" applyFont="1" applyFill="1" applyBorder="1" applyProtection="1">
      <protection locked="0"/>
    </xf>
    <xf numFmtId="0" fontId="3" fillId="2" borderId="20" xfId="1" applyFont="1" applyFill="1" applyBorder="1" applyProtection="1">
      <protection locked="0"/>
    </xf>
    <xf numFmtId="0" fontId="4" fillId="2" borderId="20" xfId="1" applyFont="1" applyFill="1" applyBorder="1" applyProtection="1">
      <protection locked="0"/>
    </xf>
    <xf numFmtId="0" fontId="4" fillId="2" borderId="21" xfId="1" applyFont="1" applyFill="1" applyBorder="1" applyProtection="1">
      <protection locked="0"/>
    </xf>
    <xf numFmtId="0" fontId="2" fillId="2" borderId="22" xfId="1" applyFont="1" applyFill="1" applyBorder="1" applyProtection="1">
      <protection locked="0"/>
    </xf>
    <xf numFmtId="0" fontId="1" fillId="2" borderId="21" xfId="1" applyFont="1" applyFill="1" applyBorder="1" applyProtection="1">
      <protection locked="0"/>
    </xf>
    <xf numFmtId="0" fontId="3" fillId="2" borderId="22" xfId="1" applyFont="1" applyFill="1" applyBorder="1" applyProtection="1">
      <protection locked="0"/>
    </xf>
    <xf numFmtId="0" fontId="3" fillId="2" borderId="21" xfId="1" applyFont="1" applyFill="1" applyBorder="1" applyProtection="1">
      <protection locked="0"/>
    </xf>
    <xf numFmtId="0" fontId="1" fillId="2" borderId="22" xfId="1" applyFont="1" applyFill="1" applyBorder="1" applyProtection="1">
      <protection locked="0"/>
    </xf>
    <xf numFmtId="0" fontId="1" fillId="2" borderId="23" xfId="1" applyFont="1" applyFill="1" applyBorder="1" applyProtection="1">
      <protection locked="0"/>
    </xf>
    <xf numFmtId="164" fontId="2" fillId="4" borderId="58" xfId="0" applyNumberFormat="1" applyFont="1" applyFill="1" applyBorder="1" applyAlignment="1" applyProtection="1">
      <alignment shrinkToFit="1"/>
      <protection locked="0"/>
    </xf>
    <xf numFmtId="164" fontId="0" fillId="4" borderId="13" xfId="0" applyNumberFormat="1" applyFill="1" applyBorder="1" applyAlignment="1" applyProtection="1">
      <alignment shrinkToFit="1"/>
      <protection locked="0"/>
    </xf>
    <xf numFmtId="164" fontId="2" fillId="4" borderId="57" xfId="0" applyNumberFormat="1" applyFont="1" applyFill="1" applyBorder="1" applyAlignment="1" applyProtection="1">
      <alignment shrinkToFit="1"/>
      <protection locked="0"/>
    </xf>
    <xf numFmtId="164" fontId="2" fillId="4" borderId="55" xfId="0" applyNumberFormat="1" applyFont="1" applyFill="1" applyBorder="1" applyAlignment="1" applyProtection="1">
      <alignment shrinkToFit="1"/>
      <protection locked="0"/>
    </xf>
    <xf numFmtId="2" fontId="2" fillId="4" borderId="12" xfId="0" applyNumberFormat="1" applyFont="1" applyFill="1" applyBorder="1" applyAlignment="1" applyProtection="1">
      <alignment shrinkToFit="1"/>
      <protection locked="0"/>
    </xf>
    <xf numFmtId="2" fontId="2" fillId="4" borderId="13" xfId="0" applyNumberFormat="1" applyFont="1" applyFill="1" applyBorder="1" applyAlignment="1" applyProtection="1">
      <alignment shrinkToFit="1"/>
      <protection locked="0"/>
    </xf>
    <xf numFmtId="0" fontId="2" fillId="4" borderId="14" xfId="0" applyFont="1" applyFill="1" applyBorder="1" applyAlignment="1" applyProtection="1">
      <alignment shrinkToFit="1"/>
      <protection locked="0"/>
    </xf>
    <xf numFmtId="0" fontId="2" fillId="4" borderId="12" xfId="0" applyFont="1" applyFill="1" applyBorder="1" applyAlignment="1" applyProtection="1">
      <alignment shrinkToFit="1"/>
      <protection locked="0"/>
    </xf>
    <xf numFmtId="0" fontId="2" fillId="4" borderId="13" xfId="0" applyFont="1" applyFill="1" applyBorder="1" applyAlignment="1" applyProtection="1">
      <alignment shrinkToFit="1"/>
      <protection locked="0"/>
    </xf>
    <xf numFmtId="165" fontId="2" fillId="4" borderId="13" xfId="0" applyNumberFormat="1" applyFont="1" applyFill="1" applyBorder="1" applyAlignment="1" applyProtection="1">
      <alignment shrinkToFit="1"/>
      <protection locked="0"/>
    </xf>
    <xf numFmtId="2" fontId="2" fillId="4" borderId="30" xfId="0" applyNumberFormat="1" applyFont="1" applyFill="1" applyBorder="1" applyAlignment="1" applyProtection="1">
      <alignment shrinkToFit="1"/>
      <protection locked="0"/>
    </xf>
    <xf numFmtId="2" fontId="0" fillId="4" borderId="29" xfId="0" applyNumberFormat="1" applyFill="1" applyBorder="1" applyAlignment="1" applyProtection="1">
      <alignment shrinkToFit="1"/>
      <protection locked="0"/>
    </xf>
    <xf numFmtId="2" fontId="2" fillId="4" borderId="16" xfId="0" applyNumberFormat="1" applyFont="1" applyFill="1" applyBorder="1" applyAlignment="1" applyProtection="1">
      <alignment shrinkToFit="1"/>
      <protection locked="0"/>
    </xf>
    <xf numFmtId="2" fontId="0" fillId="4" borderId="56" xfId="0" applyNumberFormat="1" applyFill="1" applyBorder="1" applyAlignment="1" applyProtection="1">
      <alignment shrinkToFit="1"/>
      <protection locked="0"/>
    </xf>
    <xf numFmtId="0" fontId="2" fillId="4" borderId="48" xfId="0" applyFont="1" applyFill="1" applyBorder="1" applyAlignment="1" applyProtection="1">
      <alignment shrinkToFit="1"/>
      <protection locked="0"/>
    </xf>
    <xf numFmtId="0" fontId="0" fillId="4" borderId="0" xfId="0" applyFill="1" applyAlignment="1" applyProtection="1">
      <alignment shrinkToFit="1"/>
      <protection locked="0"/>
    </xf>
    <xf numFmtId="164" fontId="2" fillId="4" borderId="12" xfId="0" applyNumberFormat="1" applyFont="1" applyFill="1" applyBorder="1" applyAlignment="1" applyProtection="1">
      <alignment shrinkToFit="1"/>
      <protection locked="0"/>
    </xf>
    <xf numFmtId="2" fontId="0" fillId="4" borderId="50" xfId="0" applyNumberFormat="1" applyFill="1" applyBorder="1" applyAlignment="1" applyProtection="1">
      <alignment shrinkToFit="1"/>
      <protection locked="0"/>
    </xf>
    <xf numFmtId="165" fontId="2" fillId="4" borderId="30" xfId="0" applyNumberFormat="1" applyFont="1" applyFill="1" applyBorder="1" applyAlignment="1" applyProtection="1">
      <alignment shrinkToFit="1"/>
      <protection locked="0"/>
    </xf>
    <xf numFmtId="165" fontId="0" fillId="4" borderId="29" xfId="0" applyNumberFormat="1" applyFill="1" applyBorder="1" applyAlignment="1" applyProtection="1">
      <alignment shrinkToFit="1"/>
      <protection locked="0"/>
    </xf>
    <xf numFmtId="164" fontId="2" fillId="4" borderId="30" xfId="0" applyNumberFormat="1" applyFont="1" applyFill="1" applyBorder="1" applyAlignment="1" applyProtection="1">
      <alignment shrinkToFit="1"/>
      <protection locked="0"/>
    </xf>
    <xf numFmtId="164" fontId="0" fillId="4" borderId="29" xfId="0" applyNumberFormat="1" applyFill="1" applyBorder="1" applyAlignment="1" applyProtection="1">
      <alignment shrinkToFit="1"/>
      <protection locked="0"/>
    </xf>
    <xf numFmtId="164" fontId="2" fillId="4" borderId="50" xfId="0" applyNumberFormat="1" applyFont="1" applyFill="1" applyBorder="1" applyAlignment="1" applyProtection="1">
      <alignment shrinkToFit="1"/>
      <protection locked="0"/>
    </xf>
    <xf numFmtId="1" fontId="2" fillId="5" borderId="57" xfId="0" applyNumberFormat="1" applyFont="1" applyFill="1" applyBorder="1" applyAlignment="1" applyProtection="1">
      <alignment shrinkToFit="1"/>
    </xf>
    <xf numFmtId="1" fontId="0" fillId="5" borderId="13" xfId="0" applyNumberFormat="1" applyFill="1" applyBorder="1" applyAlignment="1" applyProtection="1">
      <alignment shrinkToFit="1"/>
    </xf>
    <xf numFmtId="165" fontId="2" fillId="5" borderId="14" xfId="0" applyNumberFormat="1" applyFont="1" applyFill="1" applyBorder="1" applyAlignment="1" applyProtection="1">
      <alignment shrinkToFit="1"/>
    </xf>
    <xf numFmtId="165" fontId="0" fillId="5" borderId="13" xfId="0" applyNumberFormat="1" applyFill="1" applyBorder="1" applyAlignment="1" applyProtection="1">
      <alignment shrinkToFit="1"/>
    </xf>
    <xf numFmtId="167" fontId="2" fillId="5" borderId="14" xfId="0" applyNumberFormat="1" applyFont="1" applyFill="1" applyBorder="1" applyAlignment="1" applyProtection="1">
      <alignment shrinkToFit="1"/>
    </xf>
    <xf numFmtId="167" fontId="0" fillId="5" borderId="13" xfId="0" applyNumberFormat="1" applyFill="1" applyBorder="1" applyAlignment="1" applyProtection="1">
      <alignment shrinkToFit="1"/>
    </xf>
    <xf numFmtId="164" fontId="2" fillId="5" borderId="14" xfId="0" applyNumberFormat="1" applyFont="1" applyFill="1" applyBorder="1" applyAlignment="1" applyProtection="1">
      <alignment shrinkToFit="1"/>
    </xf>
    <xf numFmtId="164" fontId="2" fillId="5" borderId="13" xfId="0" applyNumberFormat="1" applyFont="1" applyFill="1" applyBorder="1" applyAlignment="1" applyProtection="1">
      <alignment shrinkToFit="1"/>
    </xf>
    <xf numFmtId="2" fontId="2" fillId="5" borderId="14" xfId="0" applyNumberFormat="1" applyFont="1" applyFill="1" applyBorder="1" applyAlignment="1" applyProtection="1">
      <alignment shrinkToFit="1"/>
    </xf>
    <xf numFmtId="2" fontId="0" fillId="5" borderId="12" xfId="0" applyNumberFormat="1" applyFill="1" applyBorder="1" applyAlignment="1" applyProtection="1">
      <alignment shrinkToFit="1"/>
    </xf>
    <xf numFmtId="2" fontId="0" fillId="5" borderId="13" xfId="0" applyNumberFormat="1" applyFill="1" applyBorder="1" applyAlignment="1" applyProtection="1">
      <alignment shrinkToFit="1"/>
    </xf>
    <xf numFmtId="0" fontId="2" fillId="5" borderId="45" xfId="0" applyFont="1" applyFill="1" applyBorder="1" applyAlignment="1" applyProtection="1">
      <alignment shrinkToFit="1"/>
    </xf>
    <xf numFmtId="0" fontId="0" fillId="5" borderId="46" xfId="0" applyFill="1" applyBorder="1" applyAlignment="1" applyProtection="1">
      <alignment shrinkToFit="1"/>
    </xf>
    <xf numFmtId="2" fontId="0" fillId="5" borderId="16" xfId="0" applyNumberFormat="1" applyFill="1" applyBorder="1" applyAlignment="1" applyProtection="1">
      <alignment shrinkToFit="1"/>
    </xf>
    <xf numFmtId="164" fontId="2" fillId="5" borderId="12" xfId="0" applyNumberFormat="1" applyFont="1" applyFill="1" applyBorder="1" applyAlignment="1" applyProtection="1">
      <alignment shrinkToFit="1"/>
    </xf>
    <xf numFmtId="164" fontId="0" fillId="5" borderId="13" xfId="0" applyNumberFormat="1" applyFill="1" applyBorder="1" applyAlignment="1" applyProtection="1">
      <alignment shrinkToFit="1"/>
    </xf>
    <xf numFmtId="164" fontId="2" fillId="5" borderId="57" xfId="0" applyNumberFormat="1" applyFont="1" applyFill="1" applyBorder="1" applyAlignment="1" applyProtection="1">
      <alignment shrinkToFit="1"/>
    </xf>
  </cellXfs>
  <cellStyles count="5">
    <cellStyle name="Hyperlink" xfId="2" builtinId="8"/>
    <cellStyle name="Normal" xfId="0" builtinId="0"/>
    <cellStyle name="Normal 2" xfId="1" xr:uid="{00000000-0005-0000-0000-000002000000}"/>
    <cellStyle name="Normal 3" xfId="3" xr:uid="{00000000-0005-0000-0000-000003000000}"/>
    <cellStyle name="Normal 4" xfId="4" xr:uid="{00000000-0005-0000-0000-000004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737875156909737E-2"/>
          <c:y val="3.0523749968318227E-2"/>
          <c:w val="0.93481981056715735"/>
          <c:h val="0.90510369335189667"/>
        </c:manualLayout>
      </c:layout>
      <c:scatterChart>
        <c:scatterStyle val="lineMarker"/>
        <c:varyColors val="0"/>
        <c:ser>
          <c:idx val="2"/>
          <c:order val="0"/>
          <c:tx>
            <c:v>Ground Level</c:v>
          </c:tx>
          <c:spPr>
            <a:ln w="19050" cap="rnd">
              <a:solidFill>
                <a:schemeClr val="accent3">
                  <a:lumMod val="50000"/>
                </a:schemeClr>
              </a:solidFill>
              <a:round/>
            </a:ln>
            <a:effectLst/>
          </c:spPr>
          <c:marker>
            <c:symbol val="none"/>
          </c:marker>
          <c:xVal>
            <c:numRef>
              <c:f>Metric!$BG$21:$BG$31</c:f>
              <c:numCache>
                <c:formatCode>0.0</c:formatCode>
                <c:ptCount val="11"/>
                <c:pt idx="0" formatCode="General">
                  <c:v>0</c:v>
                </c:pt>
                <c:pt idx="1">
                  <c:v>87</c:v>
                </c:pt>
                <c:pt idx="2">
                  <c:v>187</c:v>
                </c:pt>
                <c:pt idx="3">
                  <c:v>262</c:v>
                </c:pt>
                <c:pt idx="4">
                  <c:v>312</c:v>
                </c:pt>
                <c:pt idx="5">
                  <c:v>362</c:v>
                </c:pt>
                <c:pt idx="6">
                  <c:v>412</c:v>
                </c:pt>
                <c:pt idx="7">
                  <c:v>462</c:v>
                </c:pt>
                <c:pt idx="8">
                  <c:v>512</c:v>
                </c:pt>
                <c:pt idx="9">
                  <c:v>562</c:v>
                </c:pt>
                <c:pt idx="10">
                  <c:v>612</c:v>
                </c:pt>
              </c:numCache>
            </c:numRef>
          </c:xVal>
          <c:yVal>
            <c:numRef>
              <c:f>Metric!$BJ$21:$BJ$31</c:f>
              <c:numCache>
                <c:formatCode>General</c:formatCode>
                <c:ptCount val="11"/>
                <c:pt idx="0" formatCode="0.000">
                  <c:v>15</c:v>
                </c:pt>
                <c:pt idx="1">
                  <c:v>17</c:v>
                </c:pt>
                <c:pt idx="2">
                  <c:v>18</c:v>
                </c:pt>
                <c:pt idx="3">
                  <c:v>18.5</c:v>
                </c:pt>
                <c:pt idx="4">
                  <c:v>19</c:v>
                </c:pt>
                <c:pt idx="5">
                  <c:v>20</c:v>
                </c:pt>
                <c:pt idx="6">
                  <c:v>21</c:v>
                </c:pt>
                <c:pt idx="7">
                  <c:v>22</c:v>
                </c:pt>
                <c:pt idx="8">
                  <c:v>23</c:v>
                </c:pt>
                <c:pt idx="9">
                  <c:v>24</c:v>
                </c:pt>
                <c:pt idx="10">
                  <c:v>25</c:v>
                </c:pt>
              </c:numCache>
            </c:numRef>
          </c:yVal>
          <c:smooth val="0"/>
          <c:extLst>
            <c:ext xmlns:c16="http://schemas.microsoft.com/office/drawing/2014/chart" uri="{C3380CC4-5D6E-409C-BE32-E72D297353CC}">
              <c16:uniqueId val="{00000000-2FA7-4DE1-8F58-8681710E3370}"/>
            </c:ext>
          </c:extLst>
        </c:ser>
        <c:ser>
          <c:idx val="3"/>
          <c:order val="1"/>
          <c:tx>
            <c:v>Invert</c:v>
          </c:tx>
          <c:spPr>
            <a:ln w="19050" cap="rnd">
              <a:solidFill>
                <a:schemeClr val="tx2"/>
              </a:solidFill>
              <a:round/>
            </a:ln>
            <a:effectLst/>
          </c:spPr>
          <c:marker>
            <c:symbol val="none"/>
          </c:marker>
          <c:xVal>
            <c:numRef>
              <c:f>Metric!$BG$33:$BG$54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Metric!$BH$33:$BH$54</c:f>
              <c:numCache>
                <c:formatCode>General</c:formatCode>
                <c:ptCount val="22"/>
                <c:pt idx="0">
                  <c:v>13</c:v>
                </c:pt>
                <c:pt idx="1">
                  <c:v>13</c:v>
                </c:pt>
                <c:pt idx="2">
                  <c:v>13.87</c:v>
                </c:pt>
                <c:pt idx="3" formatCode="0.00">
                  <c:v>13.969999999999999</c:v>
                </c:pt>
                <c:pt idx="4">
                  <c:v>14.77</c:v>
                </c:pt>
                <c:pt idx="5" formatCode="0.00">
                  <c:v>14.969999999999999</c:v>
                </c:pt>
                <c:pt idx="6">
                  <c:v>15.719999999999999</c:v>
                </c:pt>
                <c:pt idx="7" formatCode="0.00">
                  <c:v>15.819999999999999</c:v>
                </c:pt>
                <c:pt idx="8">
                  <c:v>16.82</c:v>
                </c:pt>
                <c:pt idx="9" formatCode="0.00">
                  <c:v>16.97</c:v>
                </c:pt>
                <c:pt idx="10">
                  <c:v>18.47</c:v>
                </c:pt>
                <c:pt idx="11" formatCode="0.00">
                  <c:v>18.57</c:v>
                </c:pt>
                <c:pt idx="12">
                  <c:v>19.07</c:v>
                </c:pt>
                <c:pt idx="13" formatCode="0.00">
                  <c:v>19.170000000000002</c:v>
                </c:pt>
                <c:pt idx="14">
                  <c:v>19.670000000000002</c:v>
                </c:pt>
                <c:pt idx="15" formatCode="0.00">
                  <c:v>19.87</c:v>
                </c:pt>
                <c:pt idx="16">
                  <c:v>20.37</c:v>
                </c:pt>
                <c:pt idx="17" formatCode="0.00">
                  <c:v>20.67</c:v>
                </c:pt>
                <c:pt idx="18">
                  <c:v>21.17</c:v>
                </c:pt>
                <c:pt idx="19" formatCode="0.00">
                  <c:v>21.57</c:v>
                </c:pt>
                <c:pt idx="20">
                  <c:v>22.07</c:v>
                </c:pt>
                <c:pt idx="21" formatCode="0.00">
                  <c:v>22.17</c:v>
                </c:pt>
              </c:numCache>
            </c:numRef>
          </c:yVal>
          <c:smooth val="0"/>
          <c:extLst>
            <c:ext xmlns:c16="http://schemas.microsoft.com/office/drawing/2014/chart" uri="{C3380CC4-5D6E-409C-BE32-E72D297353CC}">
              <c16:uniqueId val="{00000001-2FA7-4DE1-8F58-8681710E3370}"/>
            </c:ext>
          </c:extLst>
        </c:ser>
        <c:ser>
          <c:idx val="4"/>
          <c:order val="2"/>
          <c:tx>
            <c:v>Top of Pipe</c:v>
          </c:tx>
          <c:spPr>
            <a:ln w="19050" cap="rnd">
              <a:solidFill>
                <a:schemeClr val="tx2"/>
              </a:solidFill>
              <a:round/>
            </a:ln>
            <a:effectLst/>
          </c:spPr>
          <c:marker>
            <c:symbol val="none"/>
          </c:marker>
          <c:xVal>
            <c:numRef>
              <c:f>Metric!$BG$33:$BG$54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Metric!$BI$33:$BI$54</c:f>
              <c:numCache>
                <c:formatCode>0.000</c:formatCode>
                <c:ptCount val="22"/>
                <c:pt idx="0">
                  <c:v>13.6</c:v>
                </c:pt>
                <c:pt idx="1">
                  <c:v>13.6</c:v>
                </c:pt>
                <c:pt idx="2">
                  <c:v>14.395</c:v>
                </c:pt>
                <c:pt idx="3">
                  <c:v>14.494999999999999</c:v>
                </c:pt>
                <c:pt idx="4">
                  <c:v>15.219999999999999</c:v>
                </c:pt>
                <c:pt idx="5">
                  <c:v>15.419999999999998</c:v>
                </c:pt>
                <c:pt idx="6">
                  <c:v>16.094999999999999</c:v>
                </c:pt>
                <c:pt idx="7">
                  <c:v>16.195</c:v>
                </c:pt>
                <c:pt idx="8">
                  <c:v>17.195</c:v>
                </c:pt>
                <c:pt idx="9">
                  <c:v>17.344999999999999</c:v>
                </c:pt>
                <c:pt idx="10">
                  <c:v>18.844999999999999</c:v>
                </c:pt>
                <c:pt idx="11">
                  <c:v>18.945</c:v>
                </c:pt>
                <c:pt idx="12">
                  <c:v>19.445</c:v>
                </c:pt>
                <c:pt idx="13">
                  <c:v>19.545000000000002</c:v>
                </c:pt>
                <c:pt idx="14">
                  <c:v>20.045000000000002</c:v>
                </c:pt>
                <c:pt idx="15">
                  <c:v>20.245000000000001</c:v>
                </c:pt>
                <c:pt idx="16">
                  <c:v>20.745000000000001</c:v>
                </c:pt>
                <c:pt idx="17">
                  <c:v>21.045000000000002</c:v>
                </c:pt>
                <c:pt idx="18">
                  <c:v>21.545000000000002</c:v>
                </c:pt>
                <c:pt idx="19">
                  <c:v>21.945</c:v>
                </c:pt>
                <c:pt idx="20">
                  <c:v>22.445</c:v>
                </c:pt>
                <c:pt idx="21">
                  <c:v>22.545000000000002</c:v>
                </c:pt>
              </c:numCache>
            </c:numRef>
          </c:yVal>
          <c:smooth val="0"/>
          <c:extLst>
            <c:ext xmlns:c16="http://schemas.microsoft.com/office/drawing/2014/chart" uri="{C3380CC4-5D6E-409C-BE32-E72D297353CC}">
              <c16:uniqueId val="{00000002-2FA7-4DE1-8F58-8681710E3370}"/>
            </c:ext>
          </c:extLst>
        </c:ser>
        <c:ser>
          <c:idx val="5"/>
          <c:order val="3"/>
          <c:tx>
            <c:v>HGL</c:v>
          </c:tx>
          <c:spPr>
            <a:ln w="19050" cap="rnd">
              <a:solidFill>
                <a:srgbClr val="92D050"/>
              </a:solidFill>
              <a:prstDash val="sysDot"/>
              <a:round/>
            </a:ln>
            <a:effectLst/>
          </c:spPr>
          <c:marker>
            <c:symbol val="none"/>
          </c:marker>
          <c:xVal>
            <c:numRef>
              <c:f>Metric!$BG$33:$BG$54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Metric!$BJ$33:$BJ$54</c:f>
              <c:numCache>
                <c:formatCode>0.000</c:formatCode>
                <c:ptCount val="22"/>
                <c:pt idx="0">
                  <c:v>12.95</c:v>
                </c:pt>
                <c:pt idx="1">
                  <c:v>12.95</c:v>
                </c:pt>
                <c:pt idx="2" formatCode="General">
                  <c:v>13.971046623825282</c:v>
                </c:pt>
                <c:pt idx="3" formatCode="General">
                  <c:v>14.329670135981026</c:v>
                </c:pt>
                <c:pt idx="4" formatCode="General">
                  <c:v>15.380507447590777</c:v>
                </c:pt>
                <c:pt idx="5" formatCode="General">
                  <c:v>15.652416727203887</c:v>
                </c:pt>
                <c:pt idx="6" formatCode="General">
                  <c:v>17.422757193053883</c:v>
                </c:pt>
                <c:pt idx="7" formatCode="General">
                  <c:v>17.926502702584035</c:v>
                </c:pt>
                <c:pt idx="8" formatCode="General">
                  <c:v>18.418764790136201</c:v>
                </c:pt>
                <c:pt idx="9" formatCode="General">
                  <c:v>18.753026130475952</c:v>
                </c:pt>
                <c:pt idx="10" formatCode="General">
                  <c:v>19.245288218028119</c:v>
                </c:pt>
                <c:pt idx="11" formatCode="General">
                  <c:v>19.412418888197994</c:v>
                </c:pt>
                <c:pt idx="12" formatCode="General">
                  <c:v>19.904680975750161</c:v>
                </c:pt>
                <c:pt idx="13" formatCode="General">
                  <c:v>20.071811645920036</c:v>
                </c:pt>
                <c:pt idx="14" formatCode="General">
                  <c:v>20.564073733472203</c:v>
                </c:pt>
                <c:pt idx="15" formatCode="General">
                  <c:v>20.731204403642078</c:v>
                </c:pt>
                <c:pt idx="16" formatCode="General">
                  <c:v>21.223466491194245</c:v>
                </c:pt>
                <c:pt idx="17" formatCode="General">
                  <c:v>21.39059716136412</c:v>
                </c:pt>
                <c:pt idx="18" formatCode="General">
                  <c:v>21.882859248916287</c:v>
                </c:pt>
                <c:pt idx="19" formatCode="General">
                  <c:v>22.049989919086162</c:v>
                </c:pt>
                <c:pt idx="20" formatCode="General">
                  <c:v>22.542252006638329</c:v>
                </c:pt>
                <c:pt idx="21" formatCode="General">
                  <c:v>22.709382676808204</c:v>
                </c:pt>
              </c:numCache>
            </c:numRef>
          </c:yVal>
          <c:smooth val="0"/>
          <c:extLst>
            <c:ext xmlns:c16="http://schemas.microsoft.com/office/drawing/2014/chart" uri="{C3380CC4-5D6E-409C-BE32-E72D297353CC}">
              <c16:uniqueId val="{00000003-2FA7-4DE1-8F58-8681710E3370}"/>
            </c:ext>
          </c:extLst>
        </c:ser>
        <c:ser>
          <c:idx val="6"/>
          <c:order val="4"/>
          <c:tx>
            <c:v>EGL</c:v>
          </c:tx>
          <c:spPr>
            <a:ln w="19050" cap="rnd">
              <a:solidFill>
                <a:srgbClr val="00B0F0"/>
              </a:solidFill>
              <a:prstDash val="sysDot"/>
              <a:round/>
            </a:ln>
            <a:effectLst/>
          </c:spPr>
          <c:marker>
            <c:symbol val="none"/>
          </c:marker>
          <c:xVal>
            <c:numRef>
              <c:f>Metric!$BG$33:$BG$54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Metric!$BK$33:$BK$54</c:f>
              <c:numCache>
                <c:formatCode>0.000</c:formatCode>
                <c:ptCount val="22"/>
                <c:pt idx="0">
                  <c:v>13.308623512155743</c:v>
                </c:pt>
                <c:pt idx="1">
                  <c:v>13.308623512155743</c:v>
                </c:pt>
                <c:pt idx="2" formatCode="General">
                  <c:v>14.242955903438393</c:v>
                </c:pt>
                <c:pt idx="3" formatCode="General">
                  <c:v>14.601579415594136</c:v>
                </c:pt>
                <c:pt idx="4" formatCode="General">
                  <c:v>15.88425295712093</c:v>
                </c:pt>
                <c:pt idx="5" formatCode="General">
                  <c:v>16.156162236734041</c:v>
                </c:pt>
                <c:pt idx="6" formatCode="General">
                  <c:v>17.589887863223758</c:v>
                </c:pt>
                <c:pt idx="7" formatCode="General">
                  <c:v>18.09363337275391</c:v>
                </c:pt>
                <c:pt idx="8" formatCode="General">
                  <c:v>18.585895460306077</c:v>
                </c:pt>
                <c:pt idx="9" formatCode="General">
                  <c:v>18.920156800645827</c:v>
                </c:pt>
                <c:pt idx="10" formatCode="General">
                  <c:v>19.412418888197994</c:v>
                </c:pt>
                <c:pt idx="11" formatCode="General">
                  <c:v>19.579549558367869</c:v>
                </c:pt>
                <c:pt idx="12" formatCode="General">
                  <c:v>20.071811645920036</c:v>
                </c:pt>
                <c:pt idx="13" formatCode="General">
                  <c:v>20.238942316089911</c:v>
                </c:pt>
                <c:pt idx="14" formatCode="General">
                  <c:v>20.731204403642078</c:v>
                </c:pt>
                <c:pt idx="15" formatCode="General">
                  <c:v>20.898335073811953</c:v>
                </c:pt>
                <c:pt idx="16" formatCode="General">
                  <c:v>21.39059716136412</c:v>
                </c:pt>
                <c:pt idx="17" formatCode="General">
                  <c:v>21.557727831533995</c:v>
                </c:pt>
                <c:pt idx="18" formatCode="General">
                  <c:v>22.049989919086162</c:v>
                </c:pt>
                <c:pt idx="19" formatCode="General">
                  <c:v>22.217120589256037</c:v>
                </c:pt>
                <c:pt idx="20" formatCode="General">
                  <c:v>22.709382676808204</c:v>
                </c:pt>
                <c:pt idx="21" formatCode="General">
                  <c:v>22.876513346978079</c:v>
                </c:pt>
              </c:numCache>
            </c:numRef>
          </c:yVal>
          <c:smooth val="0"/>
          <c:extLst>
            <c:ext xmlns:c16="http://schemas.microsoft.com/office/drawing/2014/chart" uri="{C3380CC4-5D6E-409C-BE32-E72D297353CC}">
              <c16:uniqueId val="{00000004-2FA7-4DE1-8F58-8681710E3370}"/>
            </c:ext>
          </c:extLst>
        </c:ser>
        <c:dLbls>
          <c:showLegendKey val="0"/>
          <c:showVal val="0"/>
          <c:showCatName val="0"/>
          <c:showSerName val="0"/>
          <c:showPercent val="0"/>
          <c:showBubbleSize val="0"/>
        </c:dLbls>
        <c:axId val="1323174784"/>
        <c:axId val="1323170464"/>
      </c:scatterChart>
      <c:valAx>
        <c:axId val="1323174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0464"/>
        <c:crosses val="autoZero"/>
        <c:crossBetween val="midCat"/>
      </c:valAx>
      <c:valAx>
        <c:axId val="1323170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4784"/>
        <c:crosses val="autoZero"/>
        <c:crossBetween val="midCat"/>
      </c:valAx>
      <c:spPr>
        <a:noFill/>
        <a:ln>
          <a:noFill/>
        </a:ln>
        <a:effectLst/>
      </c:spPr>
    </c:plotArea>
    <c:legend>
      <c:legendPos val="r"/>
      <c:layout>
        <c:manualLayout>
          <c:xMode val="edge"/>
          <c:yMode val="edge"/>
          <c:x val="4.6137395868994603E-2"/>
          <c:y val="4.4397526287132158E-2"/>
          <c:w val="0.10608211369700671"/>
          <c:h val="0.20307001336024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737875156909737E-2"/>
          <c:y val="3.0523749968318227E-2"/>
          <c:w val="0.93481981056715735"/>
          <c:h val="0.90510369335189667"/>
        </c:manualLayout>
      </c:layout>
      <c:scatterChart>
        <c:scatterStyle val="lineMarker"/>
        <c:varyColors val="0"/>
        <c:ser>
          <c:idx val="2"/>
          <c:order val="0"/>
          <c:tx>
            <c:v>Ground Level</c:v>
          </c:tx>
          <c:spPr>
            <a:ln w="19050" cap="rnd">
              <a:solidFill>
                <a:schemeClr val="accent3">
                  <a:lumMod val="50000"/>
                </a:schemeClr>
              </a:solidFill>
              <a:round/>
            </a:ln>
            <a:effectLst/>
          </c:spPr>
          <c:marker>
            <c:symbol val="none"/>
          </c:marker>
          <c:xVal>
            <c:numRef>
              <c:f>UK!$BG$21:$BG$31</c:f>
              <c:numCache>
                <c:formatCode>0.0</c:formatCode>
                <c:ptCount val="11"/>
                <c:pt idx="0" formatCode="General">
                  <c:v>0</c:v>
                </c:pt>
                <c:pt idx="1">
                  <c:v>87</c:v>
                </c:pt>
                <c:pt idx="2">
                  <c:v>187</c:v>
                </c:pt>
                <c:pt idx="3">
                  <c:v>262</c:v>
                </c:pt>
                <c:pt idx="4">
                  <c:v>312</c:v>
                </c:pt>
                <c:pt idx="5">
                  <c:v>362</c:v>
                </c:pt>
                <c:pt idx="6">
                  <c:v>412</c:v>
                </c:pt>
                <c:pt idx="7">
                  <c:v>462</c:v>
                </c:pt>
                <c:pt idx="8">
                  <c:v>512</c:v>
                </c:pt>
                <c:pt idx="9">
                  <c:v>562</c:v>
                </c:pt>
                <c:pt idx="10">
                  <c:v>612</c:v>
                </c:pt>
              </c:numCache>
            </c:numRef>
          </c:xVal>
          <c:yVal>
            <c:numRef>
              <c:f>UK!$BJ$21:$BJ$31</c:f>
              <c:numCache>
                <c:formatCode>General</c:formatCode>
                <c:ptCount val="11"/>
                <c:pt idx="0" formatCode="0.000">
                  <c:v>15</c:v>
                </c:pt>
                <c:pt idx="1">
                  <c:v>17</c:v>
                </c:pt>
                <c:pt idx="2">
                  <c:v>18</c:v>
                </c:pt>
                <c:pt idx="3">
                  <c:v>18.5</c:v>
                </c:pt>
                <c:pt idx="4">
                  <c:v>19</c:v>
                </c:pt>
                <c:pt idx="5">
                  <c:v>20</c:v>
                </c:pt>
                <c:pt idx="6">
                  <c:v>21</c:v>
                </c:pt>
                <c:pt idx="7">
                  <c:v>22</c:v>
                </c:pt>
                <c:pt idx="8">
                  <c:v>23</c:v>
                </c:pt>
                <c:pt idx="9">
                  <c:v>24</c:v>
                </c:pt>
                <c:pt idx="10">
                  <c:v>25</c:v>
                </c:pt>
              </c:numCache>
            </c:numRef>
          </c:yVal>
          <c:smooth val="0"/>
          <c:extLst>
            <c:ext xmlns:c16="http://schemas.microsoft.com/office/drawing/2014/chart" uri="{C3380CC4-5D6E-409C-BE32-E72D297353CC}">
              <c16:uniqueId val="{00000002-56F7-49D6-9BB1-A2FFCB04A72B}"/>
            </c:ext>
          </c:extLst>
        </c:ser>
        <c:ser>
          <c:idx val="3"/>
          <c:order val="1"/>
          <c:tx>
            <c:v>Invert</c:v>
          </c:tx>
          <c:spPr>
            <a:ln w="19050" cap="rnd">
              <a:solidFill>
                <a:schemeClr val="tx2"/>
              </a:solidFill>
              <a:round/>
            </a:ln>
            <a:effectLst/>
          </c:spPr>
          <c:marker>
            <c:symbol val="none"/>
          </c:marker>
          <c:xVal>
            <c:numRef>
              <c:f>UK!$BG$33:$BG$54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UK!$BH$33:$BH$54</c:f>
              <c:numCache>
                <c:formatCode>General</c:formatCode>
                <c:ptCount val="22"/>
                <c:pt idx="0">
                  <c:v>13</c:v>
                </c:pt>
                <c:pt idx="1">
                  <c:v>13</c:v>
                </c:pt>
                <c:pt idx="2">
                  <c:v>13.87</c:v>
                </c:pt>
                <c:pt idx="3" formatCode="0.00">
                  <c:v>13.969999999999999</c:v>
                </c:pt>
                <c:pt idx="4">
                  <c:v>14.77</c:v>
                </c:pt>
                <c:pt idx="5" formatCode="0.00">
                  <c:v>14.969999999999999</c:v>
                </c:pt>
                <c:pt idx="6">
                  <c:v>15.719999999999999</c:v>
                </c:pt>
                <c:pt idx="7" formatCode="0.00">
                  <c:v>15.819999999999999</c:v>
                </c:pt>
                <c:pt idx="8">
                  <c:v>16.82</c:v>
                </c:pt>
                <c:pt idx="9" formatCode="0.00">
                  <c:v>16.97</c:v>
                </c:pt>
                <c:pt idx="10">
                  <c:v>18.47</c:v>
                </c:pt>
                <c:pt idx="11" formatCode="0.00">
                  <c:v>18.57</c:v>
                </c:pt>
                <c:pt idx="12">
                  <c:v>19.07</c:v>
                </c:pt>
                <c:pt idx="13" formatCode="0.00">
                  <c:v>19.170000000000002</c:v>
                </c:pt>
                <c:pt idx="14">
                  <c:v>19.670000000000002</c:v>
                </c:pt>
                <c:pt idx="15" formatCode="0.00">
                  <c:v>19.87</c:v>
                </c:pt>
                <c:pt idx="16">
                  <c:v>20.37</c:v>
                </c:pt>
                <c:pt idx="17" formatCode="0.00">
                  <c:v>20.67</c:v>
                </c:pt>
                <c:pt idx="18">
                  <c:v>21.17</c:v>
                </c:pt>
                <c:pt idx="19" formatCode="0.00">
                  <c:v>21.57</c:v>
                </c:pt>
                <c:pt idx="20">
                  <c:v>22.07</c:v>
                </c:pt>
                <c:pt idx="21" formatCode="0.00">
                  <c:v>22.17</c:v>
                </c:pt>
              </c:numCache>
            </c:numRef>
          </c:yVal>
          <c:smooth val="0"/>
          <c:extLst>
            <c:ext xmlns:c16="http://schemas.microsoft.com/office/drawing/2014/chart" uri="{C3380CC4-5D6E-409C-BE32-E72D297353CC}">
              <c16:uniqueId val="{00000003-56F7-49D6-9BB1-A2FFCB04A72B}"/>
            </c:ext>
          </c:extLst>
        </c:ser>
        <c:ser>
          <c:idx val="4"/>
          <c:order val="2"/>
          <c:tx>
            <c:v>Top of Pipe</c:v>
          </c:tx>
          <c:spPr>
            <a:ln w="19050" cap="rnd">
              <a:solidFill>
                <a:schemeClr val="tx2"/>
              </a:solidFill>
              <a:round/>
            </a:ln>
            <a:effectLst/>
          </c:spPr>
          <c:marker>
            <c:symbol val="none"/>
          </c:marker>
          <c:xVal>
            <c:numRef>
              <c:f>UK!$BG$33:$BG$54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UK!$BI$33:$BI$54</c:f>
              <c:numCache>
                <c:formatCode>0.000</c:formatCode>
                <c:ptCount val="22"/>
                <c:pt idx="0">
                  <c:v>13.6</c:v>
                </c:pt>
                <c:pt idx="1">
                  <c:v>13.6</c:v>
                </c:pt>
                <c:pt idx="2">
                  <c:v>14.395</c:v>
                </c:pt>
                <c:pt idx="3">
                  <c:v>14.494999999999999</c:v>
                </c:pt>
                <c:pt idx="4">
                  <c:v>15.219999999999999</c:v>
                </c:pt>
                <c:pt idx="5">
                  <c:v>15.419999999999998</c:v>
                </c:pt>
                <c:pt idx="6">
                  <c:v>16.094999999999999</c:v>
                </c:pt>
                <c:pt idx="7">
                  <c:v>16.195</c:v>
                </c:pt>
                <c:pt idx="8">
                  <c:v>17.195</c:v>
                </c:pt>
                <c:pt idx="9">
                  <c:v>17.344999999999999</c:v>
                </c:pt>
                <c:pt idx="10">
                  <c:v>18.844999999999999</c:v>
                </c:pt>
                <c:pt idx="11">
                  <c:v>18.945</c:v>
                </c:pt>
                <c:pt idx="12">
                  <c:v>19.445</c:v>
                </c:pt>
                <c:pt idx="13">
                  <c:v>19.545000000000002</c:v>
                </c:pt>
                <c:pt idx="14">
                  <c:v>20.045000000000002</c:v>
                </c:pt>
                <c:pt idx="15">
                  <c:v>20.245000000000001</c:v>
                </c:pt>
                <c:pt idx="16">
                  <c:v>20.745000000000001</c:v>
                </c:pt>
                <c:pt idx="17">
                  <c:v>21.045000000000002</c:v>
                </c:pt>
                <c:pt idx="18">
                  <c:v>21.545000000000002</c:v>
                </c:pt>
                <c:pt idx="19">
                  <c:v>21.945</c:v>
                </c:pt>
                <c:pt idx="20">
                  <c:v>22.445</c:v>
                </c:pt>
                <c:pt idx="21">
                  <c:v>22.545000000000002</c:v>
                </c:pt>
              </c:numCache>
            </c:numRef>
          </c:yVal>
          <c:smooth val="0"/>
          <c:extLst>
            <c:ext xmlns:c16="http://schemas.microsoft.com/office/drawing/2014/chart" uri="{C3380CC4-5D6E-409C-BE32-E72D297353CC}">
              <c16:uniqueId val="{00000004-56F7-49D6-9BB1-A2FFCB04A72B}"/>
            </c:ext>
          </c:extLst>
        </c:ser>
        <c:ser>
          <c:idx val="5"/>
          <c:order val="3"/>
          <c:tx>
            <c:v>HGL</c:v>
          </c:tx>
          <c:spPr>
            <a:ln w="19050" cap="rnd">
              <a:solidFill>
                <a:srgbClr val="92D050"/>
              </a:solidFill>
              <a:prstDash val="sysDot"/>
              <a:round/>
            </a:ln>
            <a:effectLst/>
          </c:spPr>
          <c:marker>
            <c:symbol val="none"/>
          </c:marker>
          <c:xVal>
            <c:numRef>
              <c:f>UK!$BG$33:$BG$54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UK!$BJ$33:$BJ$54</c:f>
              <c:numCache>
                <c:formatCode>0.000</c:formatCode>
                <c:ptCount val="22"/>
                <c:pt idx="0">
                  <c:v>12.95</c:v>
                </c:pt>
                <c:pt idx="1">
                  <c:v>12.95</c:v>
                </c:pt>
                <c:pt idx="2" formatCode="General">
                  <c:v>13.971046623825282</c:v>
                </c:pt>
                <c:pt idx="3" formatCode="General">
                  <c:v>14.329670135981026</c:v>
                </c:pt>
                <c:pt idx="4" formatCode="General">
                  <c:v>15.380507447590777</c:v>
                </c:pt>
                <c:pt idx="5" formatCode="General">
                  <c:v>15.652416727203887</c:v>
                </c:pt>
                <c:pt idx="6" formatCode="General">
                  <c:v>17.422757193053883</c:v>
                </c:pt>
                <c:pt idx="7" formatCode="General">
                  <c:v>17.926502702584035</c:v>
                </c:pt>
                <c:pt idx="8" formatCode="General">
                  <c:v>18.418764790136201</c:v>
                </c:pt>
                <c:pt idx="9" formatCode="General">
                  <c:v>18.753026130475952</c:v>
                </c:pt>
                <c:pt idx="10" formatCode="General">
                  <c:v>19.245288218028119</c:v>
                </c:pt>
                <c:pt idx="11" formatCode="General">
                  <c:v>19.412418888197994</c:v>
                </c:pt>
                <c:pt idx="12" formatCode="General">
                  <c:v>19.904680975750161</c:v>
                </c:pt>
                <c:pt idx="13" formatCode="General">
                  <c:v>20.071811645920036</c:v>
                </c:pt>
                <c:pt idx="14" formatCode="General">
                  <c:v>20.564073733472203</c:v>
                </c:pt>
                <c:pt idx="15" formatCode="General">
                  <c:v>20.731204403642078</c:v>
                </c:pt>
                <c:pt idx="16" formatCode="General">
                  <c:v>21.223466491194245</c:v>
                </c:pt>
                <c:pt idx="17" formatCode="General">
                  <c:v>21.39059716136412</c:v>
                </c:pt>
                <c:pt idx="18" formatCode="General">
                  <c:v>21.882859248916287</c:v>
                </c:pt>
                <c:pt idx="19" formatCode="General">
                  <c:v>22.049989919086162</c:v>
                </c:pt>
                <c:pt idx="20" formatCode="General">
                  <c:v>22.542252006638329</c:v>
                </c:pt>
                <c:pt idx="21" formatCode="General">
                  <c:v>22.709382676808204</c:v>
                </c:pt>
              </c:numCache>
            </c:numRef>
          </c:yVal>
          <c:smooth val="0"/>
          <c:extLst>
            <c:ext xmlns:c16="http://schemas.microsoft.com/office/drawing/2014/chart" uri="{C3380CC4-5D6E-409C-BE32-E72D297353CC}">
              <c16:uniqueId val="{00000001-C8C8-4CC9-B625-4B421881E6BD}"/>
            </c:ext>
          </c:extLst>
        </c:ser>
        <c:ser>
          <c:idx val="6"/>
          <c:order val="4"/>
          <c:tx>
            <c:v>EGL</c:v>
          </c:tx>
          <c:spPr>
            <a:ln w="19050" cap="rnd">
              <a:solidFill>
                <a:srgbClr val="00B0F0"/>
              </a:solidFill>
              <a:prstDash val="sysDot"/>
              <a:round/>
            </a:ln>
            <a:effectLst/>
          </c:spPr>
          <c:marker>
            <c:symbol val="none"/>
          </c:marker>
          <c:xVal>
            <c:numRef>
              <c:f>UK!$BG$33:$BG$54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512</c:v>
                </c:pt>
                <c:pt idx="17">
                  <c:v>512</c:v>
                </c:pt>
                <c:pt idx="18">
                  <c:v>562</c:v>
                </c:pt>
                <c:pt idx="19">
                  <c:v>562</c:v>
                </c:pt>
                <c:pt idx="20" formatCode="0.0">
                  <c:v>612</c:v>
                </c:pt>
                <c:pt idx="21">
                  <c:v>612</c:v>
                </c:pt>
              </c:numCache>
            </c:numRef>
          </c:xVal>
          <c:yVal>
            <c:numRef>
              <c:f>UK!$BK$33:$BK$54</c:f>
              <c:numCache>
                <c:formatCode>0.000</c:formatCode>
                <c:ptCount val="22"/>
                <c:pt idx="0">
                  <c:v>13.308623512155743</c:v>
                </c:pt>
                <c:pt idx="1">
                  <c:v>13.308623512155743</c:v>
                </c:pt>
                <c:pt idx="2" formatCode="General">
                  <c:v>14.242955903438393</c:v>
                </c:pt>
                <c:pt idx="3" formatCode="General">
                  <c:v>14.601579415594136</c:v>
                </c:pt>
                <c:pt idx="4" formatCode="General">
                  <c:v>15.88425295712093</c:v>
                </c:pt>
                <c:pt idx="5" formatCode="General">
                  <c:v>16.156162236734041</c:v>
                </c:pt>
                <c:pt idx="6" formatCode="General">
                  <c:v>17.589887863223758</c:v>
                </c:pt>
                <c:pt idx="7" formatCode="General">
                  <c:v>18.09363337275391</c:v>
                </c:pt>
                <c:pt idx="8" formatCode="General">
                  <c:v>18.585895460306077</c:v>
                </c:pt>
                <c:pt idx="9" formatCode="General">
                  <c:v>18.920156800645827</c:v>
                </c:pt>
                <c:pt idx="10" formatCode="General">
                  <c:v>19.412418888197994</c:v>
                </c:pt>
                <c:pt idx="11" formatCode="General">
                  <c:v>19.579549558367869</c:v>
                </c:pt>
                <c:pt idx="12" formatCode="General">
                  <c:v>20.071811645920036</c:v>
                </c:pt>
                <c:pt idx="13" formatCode="General">
                  <c:v>20.238942316089911</c:v>
                </c:pt>
                <c:pt idx="14" formatCode="General">
                  <c:v>20.731204403642078</c:v>
                </c:pt>
                <c:pt idx="15" formatCode="General">
                  <c:v>20.898335073811953</c:v>
                </c:pt>
                <c:pt idx="16" formatCode="General">
                  <c:v>21.39059716136412</c:v>
                </c:pt>
                <c:pt idx="17" formatCode="General">
                  <c:v>21.557727831533995</c:v>
                </c:pt>
                <c:pt idx="18" formatCode="General">
                  <c:v>22.049989919086162</c:v>
                </c:pt>
                <c:pt idx="19" formatCode="General">
                  <c:v>22.217120589256037</c:v>
                </c:pt>
                <c:pt idx="20" formatCode="General">
                  <c:v>22.709382676808204</c:v>
                </c:pt>
                <c:pt idx="21" formatCode="General">
                  <c:v>22.876513346978079</c:v>
                </c:pt>
              </c:numCache>
            </c:numRef>
          </c:yVal>
          <c:smooth val="0"/>
          <c:extLst>
            <c:ext xmlns:c16="http://schemas.microsoft.com/office/drawing/2014/chart" uri="{C3380CC4-5D6E-409C-BE32-E72D297353CC}">
              <c16:uniqueId val="{00000002-C8C8-4CC9-B625-4B421881E6BD}"/>
            </c:ext>
          </c:extLst>
        </c:ser>
        <c:dLbls>
          <c:showLegendKey val="0"/>
          <c:showVal val="0"/>
          <c:showCatName val="0"/>
          <c:showSerName val="0"/>
          <c:showPercent val="0"/>
          <c:showBubbleSize val="0"/>
        </c:dLbls>
        <c:axId val="1323174784"/>
        <c:axId val="1323170464"/>
      </c:scatterChart>
      <c:valAx>
        <c:axId val="1323174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0464"/>
        <c:crosses val="autoZero"/>
        <c:crossBetween val="midCat"/>
      </c:valAx>
      <c:valAx>
        <c:axId val="1323170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4784"/>
        <c:crosses val="autoZero"/>
        <c:crossBetween val="midCat"/>
      </c:valAx>
      <c:spPr>
        <a:noFill/>
        <a:ln>
          <a:noFill/>
        </a:ln>
        <a:effectLst/>
      </c:spPr>
    </c:plotArea>
    <c:legend>
      <c:legendPos val="r"/>
      <c:layout>
        <c:manualLayout>
          <c:xMode val="edge"/>
          <c:yMode val="edge"/>
          <c:x val="4.6137395868994603E-2"/>
          <c:y val="4.4397526287132158E-2"/>
          <c:w val="0.10608211369700671"/>
          <c:h val="0.20307001336024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20914718806538E-2"/>
          <c:y val="3.2429380786857025E-2"/>
          <c:w val="0.91965134973756013"/>
          <c:h val="0.89917921399723577"/>
        </c:manualLayout>
      </c:layout>
      <c:scatterChart>
        <c:scatterStyle val="lineMarker"/>
        <c:varyColors val="0"/>
        <c:ser>
          <c:idx val="0"/>
          <c:order val="0"/>
          <c:tx>
            <c:v>HGL</c:v>
          </c:tx>
          <c:spPr>
            <a:ln w="19050" cap="rnd">
              <a:solidFill>
                <a:srgbClr val="92D050"/>
              </a:solidFill>
              <a:prstDash val="dash"/>
              <a:round/>
            </a:ln>
            <a:effectLst/>
          </c:spPr>
          <c:marker>
            <c:symbol val="none"/>
          </c:marker>
          <c:xVal>
            <c:numRef>
              <c:f>HK!$AP$33:$AP$54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462</c:v>
                </c:pt>
                <c:pt idx="17">
                  <c:v>462</c:v>
                </c:pt>
                <c:pt idx="18">
                  <c:v>462</c:v>
                </c:pt>
                <c:pt idx="19">
                  <c:v>462</c:v>
                </c:pt>
                <c:pt idx="20" formatCode="0.0">
                  <c:v>462</c:v>
                </c:pt>
                <c:pt idx="21">
                  <c:v>462</c:v>
                </c:pt>
              </c:numCache>
            </c:numRef>
          </c:xVal>
          <c:yVal>
            <c:numRef>
              <c:f>HK!$AS$33:$AS$54</c:f>
              <c:numCache>
                <c:formatCode>0.000</c:formatCode>
                <c:ptCount val="22"/>
                <c:pt idx="0">
                  <c:v>12.95</c:v>
                </c:pt>
                <c:pt idx="1">
                  <c:v>12.95</c:v>
                </c:pt>
                <c:pt idx="2" formatCode="General">
                  <c:v>13.971046623825282</c:v>
                </c:pt>
                <c:pt idx="3" formatCode="General">
                  <c:v>14.329670135981026</c:v>
                </c:pt>
                <c:pt idx="4" formatCode="General">
                  <c:v>15.380507447590777</c:v>
                </c:pt>
                <c:pt idx="5" formatCode="General">
                  <c:v>15.652416727203887</c:v>
                </c:pt>
                <c:pt idx="6" formatCode="General">
                  <c:v>17.422757193053883</c:v>
                </c:pt>
                <c:pt idx="7" formatCode="General">
                  <c:v>17.926502702584035</c:v>
                </c:pt>
                <c:pt idx="8" formatCode="General">
                  <c:v>18.418764790136201</c:v>
                </c:pt>
                <c:pt idx="9" formatCode="General">
                  <c:v>18.83659146556089</c:v>
                </c:pt>
                <c:pt idx="10" formatCode="General">
                  <c:v>19.328853553113056</c:v>
                </c:pt>
                <c:pt idx="11" formatCode="General">
                  <c:v>19.495984223282932</c:v>
                </c:pt>
                <c:pt idx="12" formatCode="General">
                  <c:v>19.988246310835098</c:v>
                </c:pt>
                <c:pt idx="13" formatCode="General">
                  <c:v>20.155376981004974</c:v>
                </c:pt>
                <c:pt idx="14" formatCode="General">
                  <c:v>20.64763906855714</c:v>
                </c:pt>
                <c:pt idx="15" formatCode="General">
                  <c:v>20.814769738727016</c:v>
                </c:pt>
                <c:pt idx="16" formatCode="General">
                  <c:v>20.814769738727016</c:v>
                </c:pt>
                <c:pt idx="17" formatCode="General">
                  <c:v>20.814769738727016</c:v>
                </c:pt>
                <c:pt idx="18" formatCode="General">
                  <c:v>20.814769738727016</c:v>
                </c:pt>
                <c:pt idx="19" formatCode="General">
                  <c:v>20.814769738727016</c:v>
                </c:pt>
                <c:pt idx="20" formatCode="General">
                  <c:v>20.814769738727016</c:v>
                </c:pt>
                <c:pt idx="21" formatCode="General">
                  <c:v>20.814769738727016</c:v>
                </c:pt>
              </c:numCache>
            </c:numRef>
          </c:yVal>
          <c:smooth val="0"/>
          <c:extLst>
            <c:ext xmlns:c16="http://schemas.microsoft.com/office/drawing/2014/chart" uri="{C3380CC4-5D6E-409C-BE32-E72D297353CC}">
              <c16:uniqueId val="{00000000-684A-42F9-9E53-40BF6164156E}"/>
            </c:ext>
          </c:extLst>
        </c:ser>
        <c:ser>
          <c:idx val="1"/>
          <c:order val="1"/>
          <c:tx>
            <c:v>EGL</c:v>
          </c:tx>
          <c:spPr>
            <a:ln w="19050" cap="rnd">
              <a:solidFill>
                <a:srgbClr val="00B0F0"/>
              </a:solidFill>
              <a:prstDash val="dash"/>
              <a:round/>
            </a:ln>
            <a:effectLst/>
          </c:spPr>
          <c:marker>
            <c:symbol val="none"/>
          </c:marker>
          <c:xVal>
            <c:numRef>
              <c:f>HK!$AP$33:$AP$54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462</c:v>
                </c:pt>
                <c:pt idx="17">
                  <c:v>462</c:v>
                </c:pt>
                <c:pt idx="18">
                  <c:v>462</c:v>
                </c:pt>
                <c:pt idx="19">
                  <c:v>462</c:v>
                </c:pt>
                <c:pt idx="20" formatCode="0.0">
                  <c:v>462</c:v>
                </c:pt>
                <c:pt idx="21">
                  <c:v>462</c:v>
                </c:pt>
              </c:numCache>
            </c:numRef>
          </c:xVal>
          <c:yVal>
            <c:numRef>
              <c:f>HK!$AT$33:$AT$54</c:f>
              <c:numCache>
                <c:formatCode>0.000</c:formatCode>
                <c:ptCount val="22"/>
                <c:pt idx="0">
                  <c:v>13.308623512155743</c:v>
                </c:pt>
                <c:pt idx="1">
                  <c:v>13.308623512155743</c:v>
                </c:pt>
                <c:pt idx="2" formatCode="General">
                  <c:v>14.242955903438393</c:v>
                </c:pt>
                <c:pt idx="3" formatCode="General">
                  <c:v>14.601579415594136</c:v>
                </c:pt>
                <c:pt idx="4" formatCode="General">
                  <c:v>15.88425295712093</c:v>
                </c:pt>
                <c:pt idx="5" formatCode="General">
                  <c:v>16.156162236734041</c:v>
                </c:pt>
                <c:pt idx="6" formatCode="General">
                  <c:v>17.589887863223758</c:v>
                </c:pt>
                <c:pt idx="7" formatCode="General">
                  <c:v>18.09363337275391</c:v>
                </c:pt>
                <c:pt idx="8" formatCode="General">
                  <c:v>18.585895460306077</c:v>
                </c:pt>
                <c:pt idx="9" formatCode="General">
                  <c:v>19.003722135730765</c:v>
                </c:pt>
                <c:pt idx="10" formatCode="General">
                  <c:v>19.495984223282932</c:v>
                </c:pt>
                <c:pt idx="11" formatCode="General">
                  <c:v>19.663114893452807</c:v>
                </c:pt>
                <c:pt idx="12" formatCode="General">
                  <c:v>20.155376981004974</c:v>
                </c:pt>
                <c:pt idx="13" formatCode="General">
                  <c:v>20.322507651174849</c:v>
                </c:pt>
                <c:pt idx="14" formatCode="General">
                  <c:v>20.814769738727016</c:v>
                </c:pt>
                <c:pt idx="15" formatCode="General">
                  <c:v>20.981900408896891</c:v>
                </c:pt>
                <c:pt idx="16" formatCode="General">
                  <c:v>20.981900408896891</c:v>
                </c:pt>
                <c:pt idx="17" formatCode="General">
                  <c:v>20.981900408896891</c:v>
                </c:pt>
                <c:pt idx="18" formatCode="General">
                  <c:v>20.981900408896891</c:v>
                </c:pt>
                <c:pt idx="19" formatCode="General">
                  <c:v>20.981900408896891</c:v>
                </c:pt>
                <c:pt idx="20" formatCode="General">
                  <c:v>20.981900408896891</c:v>
                </c:pt>
                <c:pt idx="21" formatCode="General">
                  <c:v>20.981900408896891</c:v>
                </c:pt>
              </c:numCache>
            </c:numRef>
          </c:yVal>
          <c:smooth val="0"/>
          <c:extLst>
            <c:ext xmlns:c16="http://schemas.microsoft.com/office/drawing/2014/chart" uri="{C3380CC4-5D6E-409C-BE32-E72D297353CC}">
              <c16:uniqueId val="{00000001-684A-42F9-9E53-40BF6164156E}"/>
            </c:ext>
          </c:extLst>
        </c:ser>
        <c:ser>
          <c:idx val="2"/>
          <c:order val="2"/>
          <c:tx>
            <c:v>Ground Level</c:v>
          </c:tx>
          <c:spPr>
            <a:ln w="19050" cap="rnd">
              <a:solidFill>
                <a:schemeClr val="accent3">
                  <a:lumMod val="50000"/>
                </a:schemeClr>
              </a:solidFill>
              <a:round/>
            </a:ln>
            <a:effectLst/>
          </c:spPr>
          <c:marker>
            <c:symbol val="none"/>
          </c:marker>
          <c:xVal>
            <c:numRef>
              <c:f>HK!$AP$21:$AP$31</c:f>
              <c:numCache>
                <c:formatCode>0.0</c:formatCode>
                <c:ptCount val="11"/>
                <c:pt idx="0" formatCode="General">
                  <c:v>0</c:v>
                </c:pt>
                <c:pt idx="1">
                  <c:v>87</c:v>
                </c:pt>
                <c:pt idx="2">
                  <c:v>187</c:v>
                </c:pt>
                <c:pt idx="3">
                  <c:v>262</c:v>
                </c:pt>
                <c:pt idx="4">
                  <c:v>312</c:v>
                </c:pt>
                <c:pt idx="5">
                  <c:v>362</c:v>
                </c:pt>
                <c:pt idx="6">
                  <c:v>412</c:v>
                </c:pt>
                <c:pt idx="7">
                  <c:v>462</c:v>
                </c:pt>
                <c:pt idx="8">
                  <c:v>462</c:v>
                </c:pt>
                <c:pt idx="9">
                  <c:v>462</c:v>
                </c:pt>
                <c:pt idx="10">
                  <c:v>462</c:v>
                </c:pt>
              </c:numCache>
            </c:numRef>
          </c:xVal>
          <c:yVal>
            <c:numRef>
              <c:f>HK!$AS$21:$AS$31</c:f>
              <c:numCache>
                <c:formatCode>General</c:formatCode>
                <c:ptCount val="11"/>
                <c:pt idx="0" formatCode="0.000">
                  <c:v>15</c:v>
                </c:pt>
                <c:pt idx="1">
                  <c:v>17</c:v>
                </c:pt>
                <c:pt idx="2">
                  <c:v>18</c:v>
                </c:pt>
                <c:pt idx="3">
                  <c:v>18.5</c:v>
                </c:pt>
                <c:pt idx="4">
                  <c:v>19</c:v>
                </c:pt>
                <c:pt idx="5">
                  <c:v>20</c:v>
                </c:pt>
                <c:pt idx="6">
                  <c:v>21</c:v>
                </c:pt>
                <c:pt idx="7">
                  <c:v>22</c:v>
                </c:pt>
                <c:pt idx="8">
                  <c:v>22</c:v>
                </c:pt>
                <c:pt idx="9">
                  <c:v>22</c:v>
                </c:pt>
                <c:pt idx="10">
                  <c:v>22</c:v>
                </c:pt>
              </c:numCache>
            </c:numRef>
          </c:yVal>
          <c:smooth val="0"/>
          <c:extLst>
            <c:ext xmlns:c16="http://schemas.microsoft.com/office/drawing/2014/chart" uri="{C3380CC4-5D6E-409C-BE32-E72D297353CC}">
              <c16:uniqueId val="{00000002-684A-42F9-9E53-40BF6164156E}"/>
            </c:ext>
          </c:extLst>
        </c:ser>
        <c:ser>
          <c:idx val="3"/>
          <c:order val="3"/>
          <c:tx>
            <c:v>Invert</c:v>
          </c:tx>
          <c:spPr>
            <a:ln w="19050" cap="rnd">
              <a:solidFill>
                <a:schemeClr val="tx2"/>
              </a:solidFill>
              <a:round/>
            </a:ln>
            <a:effectLst/>
          </c:spPr>
          <c:marker>
            <c:symbol val="none"/>
          </c:marker>
          <c:xVal>
            <c:numRef>
              <c:f>HK!$AP$33:$AP$54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462</c:v>
                </c:pt>
                <c:pt idx="17">
                  <c:v>462</c:v>
                </c:pt>
                <c:pt idx="18">
                  <c:v>462</c:v>
                </c:pt>
                <c:pt idx="19">
                  <c:v>462</c:v>
                </c:pt>
                <c:pt idx="20" formatCode="0.0">
                  <c:v>462</c:v>
                </c:pt>
                <c:pt idx="21">
                  <c:v>462</c:v>
                </c:pt>
              </c:numCache>
            </c:numRef>
          </c:xVal>
          <c:yVal>
            <c:numRef>
              <c:f>HK!$AQ$33:$AQ$54</c:f>
              <c:numCache>
                <c:formatCode>General</c:formatCode>
                <c:ptCount val="22"/>
                <c:pt idx="0">
                  <c:v>13</c:v>
                </c:pt>
                <c:pt idx="1">
                  <c:v>13</c:v>
                </c:pt>
                <c:pt idx="2">
                  <c:v>13.87</c:v>
                </c:pt>
                <c:pt idx="3" formatCode="0.00">
                  <c:v>13.969999999999999</c:v>
                </c:pt>
                <c:pt idx="4">
                  <c:v>14.77</c:v>
                </c:pt>
                <c:pt idx="5" formatCode="0.00">
                  <c:v>14.969999999999999</c:v>
                </c:pt>
                <c:pt idx="6">
                  <c:v>15.719999999999999</c:v>
                </c:pt>
                <c:pt idx="7" formatCode="0.00">
                  <c:v>15.819999999999999</c:v>
                </c:pt>
                <c:pt idx="8">
                  <c:v>16.82</c:v>
                </c:pt>
                <c:pt idx="9" formatCode="0.00">
                  <c:v>16.97</c:v>
                </c:pt>
                <c:pt idx="10">
                  <c:v>18.47</c:v>
                </c:pt>
                <c:pt idx="11" formatCode="0.00">
                  <c:v>18.57</c:v>
                </c:pt>
                <c:pt idx="12">
                  <c:v>19.07</c:v>
                </c:pt>
                <c:pt idx="13" formatCode="0.00">
                  <c:v>19.170000000000002</c:v>
                </c:pt>
                <c:pt idx="14">
                  <c:v>19.670000000000002</c:v>
                </c:pt>
                <c:pt idx="15" formatCode="0.00">
                  <c:v>19.770000000000003</c:v>
                </c:pt>
                <c:pt idx="16">
                  <c:v>19.770000000000003</c:v>
                </c:pt>
                <c:pt idx="17" formatCode="0.00">
                  <c:v>19.770000000000003</c:v>
                </c:pt>
                <c:pt idx="18">
                  <c:v>19.770000000000003</c:v>
                </c:pt>
                <c:pt idx="19" formatCode="0.00">
                  <c:v>19.770000000000003</c:v>
                </c:pt>
                <c:pt idx="20">
                  <c:v>19.770000000000003</c:v>
                </c:pt>
                <c:pt idx="21" formatCode="0.00">
                  <c:v>19.770000000000003</c:v>
                </c:pt>
              </c:numCache>
            </c:numRef>
          </c:yVal>
          <c:smooth val="0"/>
          <c:extLst>
            <c:ext xmlns:c16="http://schemas.microsoft.com/office/drawing/2014/chart" uri="{C3380CC4-5D6E-409C-BE32-E72D297353CC}">
              <c16:uniqueId val="{00000003-684A-42F9-9E53-40BF6164156E}"/>
            </c:ext>
          </c:extLst>
        </c:ser>
        <c:ser>
          <c:idx val="4"/>
          <c:order val="4"/>
          <c:tx>
            <c:v>Top of Pipe</c:v>
          </c:tx>
          <c:spPr>
            <a:ln w="19050" cap="rnd">
              <a:solidFill>
                <a:schemeClr val="tx2"/>
              </a:solidFill>
              <a:round/>
            </a:ln>
            <a:effectLst/>
          </c:spPr>
          <c:marker>
            <c:symbol val="none"/>
          </c:marker>
          <c:xVal>
            <c:numRef>
              <c:f>HK!$AP$33:$AP$54</c:f>
              <c:numCache>
                <c:formatCode>General</c:formatCode>
                <c:ptCount val="22"/>
                <c:pt idx="0">
                  <c:v>0</c:v>
                </c:pt>
                <c:pt idx="1">
                  <c:v>0</c:v>
                </c:pt>
                <c:pt idx="2">
                  <c:v>87</c:v>
                </c:pt>
                <c:pt idx="3">
                  <c:v>87</c:v>
                </c:pt>
                <c:pt idx="4">
                  <c:v>187</c:v>
                </c:pt>
                <c:pt idx="5">
                  <c:v>187</c:v>
                </c:pt>
                <c:pt idx="6">
                  <c:v>262</c:v>
                </c:pt>
                <c:pt idx="7">
                  <c:v>262</c:v>
                </c:pt>
                <c:pt idx="8">
                  <c:v>312</c:v>
                </c:pt>
                <c:pt idx="9">
                  <c:v>312</c:v>
                </c:pt>
                <c:pt idx="10">
                  <c:v>362</c:v>
                </c:pt>
                <c:pt idx="11">
                  <c:v>362</c:v>
                </c:pt>
                <c:pt idx="12">
                  <c:v>412</c:v>
                </c:pt>
                <c:pt idx="13">
                  <c:v>412</c:v>
                </c:pt>
                <c:pt idx="14">
                  <c:v>462</c:v>
                </c:pt>
                <c:pt idx="15">
                  <c:v>462</c:v>
                </c:pt>
                <c:pt idx="16">
                  <c:v>462</c:v>
                </c:pt>
                <c:pt idx="17">
                  <c:v>462</c:v>
                </c:pt>
                <c:pt idx="18">
                  <c:v>462</c:v>
                </c:pt>
                <c:pt idx="19">
                  <c:v>462</c:v>
                </c:pt>
                <c:pt idx="20" formatCode="0.0">
                  <c:v>462</c:v>
                </c:pt>
                <c:pt idx="21">
                  <c:v>462</c:v>
                </c:pt>
              </c:numCache>
            </c:numRef>
          </c:xVal>
          <c:yVal>
            <c:numRef>
              <c:f>HK!$AR$33:$AR$54</c:f>
              <c:numCache>
                <c:formatCode>0.000</c:formatCode>
                <c:ptCount val="22"/>
                <c:pt idx="0">
                  <c:v>13.6</c:v>
                </c:pt>
                <c:pt idx="1">
                  <c:v>13.6</c:v>
                </c:pt>
                <c:pt idx="2">
                  <c:v>14.395</c:v>
                </c:pt>
                <c:pt idx="3">
                  <c:v>14.494999999999999</c:v>
                </c:pt>
                <c:pt idx="4">
                  <c:v>15.219999999999999</c:v>
                </c:pt>
                <c:pt idx="5">
                  <c:v>15.419999999999998</c:v>
                </c:pt>
                <c:pt idx="6">
                  <c:v>16.094999999999999</c:v>
                </c:pt>
                <c:pt idx="7">
                  <c:v>16.195</c:v>
                </c:pt>
                <c:pt idx="8">
                  <c:v>17.195</c:v>
                </c:pt>
                <c:pt idx="9">
                  <c:v>17.344999999999999</c:v>
                </c:pt>
                <c:pt idx="10">
                  <c:v>18.844999999999999</c:v>
                </c:pt>
                <c:pt idx="11">
                  <c:v>18.945</c:v>
                </c:pt>
                <c:pt idx="12">
                  <c:v>19.445</c:v>
                </c:pt>
                <c:pt idx="13">
                  <c:v>19.545000000000002</c:v>
                </c:pt>
                <c:pt idx="14">
                  <c:v>19.670000000000002</c:v>
                </c:pt>
                <c:pt idx="15">
                  <c:v>19.770000000000003</c:v>
                </c:pt>
                <c:pt idx="16">
                  <c:v>19.770000000000003</c:v>
                </c:pt>
                <c:pt idx="17">
                  <c:v>19.770000000000003</c:v>
                </c:pt>
                <c:pt idx="18">
                  <c:v>19.770000000000003</c:v>
                </c:pt>
                <c:pt idx="19">
                  <c:v>19.770000000000003</c:v>
                </c:pt>
                <c:pt idx="20">
                  <c:v>19.770000000000003</c:v>
                </c:pt>
                <c:pt idx="21">
                  <c:v>19.770000000000003</c:v>
                </c:pt>
              </c:numCache>
            </c:numRef>
          </c:yVal>
          <c:smooth val="0"/>
          <c:extLst>
            <c:ext xmlns:c16="http://schemas.microsoft.com/office/drawing/2014/chart" uri="{C3380CC4-5D6E-409C-BE32-E72D297353CC}">
              <c16:uniqueId val="{00000004-684A-42F9-9E53-40BF6164156E}"/>
            </c:ext>
          </c:extLst>
        </c:ser>
        <c:dLbls>
          <c:showLegendKey val="0"/>
          <c:showVal val="0"/>
          <c:showCatName val="0"/>
          <c:showSerName val="0"/>
          <c:showPercent val="0"/>
          <c:showBubbleSize val="0"/>
        </c:dLbls>
        <c:axId val="1323174784"/>
        <c:axId val="1323170464"/>
      </c:scatterChart>
      <c:valAx>
        <c:axId val="1323174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0464"/>
        <c:crosses val="autoZero"/>
        <c:crossBetween val="midCat"/>
      </c:valAx>
      <c:valAx>
        <c:axId val="1323170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4784"/>
        <c:crosses val="autoZero"/>
        <c:crossBetween val="midCat"/>
      </c:valAx>
      <c:spPr>
        <a:noFill/>
        <a:ln>
          <a:noFill/>
        </a:ln>
        <a:effectLst/>
      </c:spPr>
    </c:plotArea>
    <c:legend>
      <c:legendPos val="r"/>
      <c:layout>
        <c:manualLayout>
          <c:xMode val="edge"/>
          <c:yMode val="edge"/>
          <c:x val="6.9747240247407541E-2"/>
          <c:y val="3.9538773886200501E-2"/>
          <c:w val="0.18808530766261253"/>
          <c:h val="0.248749832281835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737875156909737E-2"/>
          <c:y val="3.0523749968318227E-2"/>
          <c:w val="0.93481981056715735"/>
          <c:h val="0.90510369335189667"/>
        </c:manualLayout>
      </c:layout>
      <c:scatterChart>
        <c:scatterStyle val="lineMarker"/>
        <c:varyColors val="0"/>
        <c:ser>
          <c:idx val="2"/>
          <c:order val="0"/>
          <c:tx>
            <c:v>Ground Level</c:v>
          </c:tx>
          <c:spPr>
            <a:ln w="19050" cap="rnd">
              <a:solidFill>
                <a:schemeClr val="accent3">
                  <a:lumMod val="50000"/>
                </a:schemeClr>
              </a:solidFill>
              <a:round/>
            </a:ln>
            <a:effectLst/>
          </c:spPr>
          <c:marker>
            <c:symbol val="none"/>
          </c:marker>
          <c:xVal>
            <c:numRef>
              <c:f>US!$BK$21:$BK$31</c:f>
              <c:numCache>
                <c:formatCode>General</c:formatCode>
                <c:ptCount val="11"/>
                <c:pt idx="0">
                  <c:v>0</c:v>
                </c:pt>
                <c:pt idx="1">
                  <c:v>150</c:v>
                </c:pt>
                <c:pt idx="2">
                  <c:v>273.99999999999994</c:v>
                </c:pt>
                <c:pt idx="3">
                  <c:v>395.99999999999994</c:v>
                </c:pt>
                <c:pt idx="4">
                  <c:v>495.99999999999994</c:v>
                </c:pt>
                <c:pt idx="5">
                  <c:v>595.99999999999989</c:v>
                </c:pt>
                <c:pt idx="6">
                  <c:v>715.99999999999989</c:v>
                </c:pt>
                <c:pt idx="7">
                  <c:v>835.99999999999989</c:v>
                </c:pt>
                <c:pt idx="8">
                  <c:v>935.99999999999989</c:v>
                </c:pt>
                <c:pt idx="9">
                  <c:v>1035.9999999999998</c:v>
                </c:pt>
                <c:pt idx="10">
                  <c:v>1136</c:v>
                </c:pt>
              </c:numCache>
            </c:numRef>
          </c:xVal>
          <c:yVal>
            <c:numRef>
              <c:f>US!$BL$21:$BL$31</c:f>
              <c:numCache>
                <c:formatCode>General</c:formatCode>
                <c:ptCount val="11"/>
                <c:pt idx="0">
                  <c:v>15</c:v>
                </c:pt>
                <c:pt idx="1">
                  <c:v>21.999999999999996</c:v>
                </c:pt>
                <c:pt idx="2">
                  <c:v>24</c:v>
                </c:pt>
                <c:pt idx="3">
                  <c:v>26</c:v>
                </c:pt>
                <c:pt idx="4">
                  <c:v>28</c:v>
                </c:pt>
                <c:pt idx="5">
                  <c:v>30</c:v>
                </c:pt>
                <c:pt idx="6">
                  <c:v>33</c:v>
                </c:pt>
                <c:pt idx="7">
                  <c:v>37</c:v>
                </c:pt>
                <c:pt idx="8">
                  <c:v>37</c:v>
                </c:pt>
                <c:pt idx="9">
                  <c:v>38</c:v>
                </c:pt>
                <c:pt idx="10">
                  <c:v>41</c:v>
                </c:pt>
              </c:numCache>
            </c:numRef>
          </c:yVal>
          <c:smooth val="0"/>
          <c:extLst>
            <c:ext xmlns:c16="http://schemas.microsoft.com/office/drawing/2014/chart" uri="{C3380CC4-5D6E-409C-BE32-E72D297353CC}">
              <c16:uniqueId val="{00000000-918C-4F16-9AE5-27D761FAD50F}"/>
            </c:ext>
          </c:extLst>
        </c:ser>
        <c:ser>
          <c:idx val="3"/>
          <c:order val="1"/>
          <c:tx>
            <c:v>Invert</c:v>
          </c:tx>
          <c:spPr>
            <a:ln w="19050" cap="rnd">
              <a:solidFill>
                <a:schemeClr val="tx2"/>
              </a:solidFill>
              <a:round/>
            </a:ln>
            <a:effectLst/>
          </c:spPr>
          <c:marker>
            <c:symbol val="none"/>
          </c:marker>
          <c:xVal>
            <c:numRef>
              <c:f>US!$BG$56:$BG$77</c:f>
              <c:numCache>
                <c:formatCode>General</c:formatCode>
                <c:ptCount val="22"/>
                <c:pt idx="0">
                  <c:v>0</c:v>
                </c:pt>
                <c:pt idx="1">
                  <c:v>0</c:v>
                </c:pt>
                <c:pt idx="2">
                  <c:v>150</c:v>
                </c:pt>
                <c:pt idx="3">
                  <c:v>150</c:v>
                </c:pt>
                <c:pt idx="4">
                  <c:v>273.99999999999994</c:v>
                </c:pt>
                <c:pt idx="5">
                  <c:v>273.99999999999994</c:v>
                </c:pt>
                <c:pt idx="6">
                  <c:v>395.99999999999994</c:v>
                </c:pt>
                <c:pt idx="7">
                  <c:v>395.99999999999994</c:v>
                </c:pt>
                <c:pt idx="8">
                  <c:v>495.99999999999994</c:v>
                </c:pt>
                <c:pt idx="9">
                  <c:v>495.99999999999994</c:v>
                </c:pt>
                <c:pt idx="10">
                  <c:v>595.99999999999989</c:v>
                </c:pt>
                <c:pt idx="11">
                  <c:v>595.99999999999989</c:v>
                </c:pt>
                <c:pt idx="12">
                  <c:v>715.99999999999989</c:v>
                </c:pt>
                <c:pt idx="13">
                  <c:v>715.99999999999989</c:v>
                </c:pt>
                <c:pt idx="14">
                  <c:v>835.99999999999989</c:v>
                </c:pt>
                <c:pt idx="15">
                  <c:v>835.99999999999989</c:v>
                </c:pt>
                <c:pt idx="16">
                  <c:v>935.99999999999989</c:v>
                </c:pt>
                <c:pt idx="17">
                  <c:v>935.99999999999989</c:v>
                </c:pt>
                <c:pt idx="18">
                  <c:v>1035.9999999999998</c:v>
                </c:pt>
                <c:pt idx="19">
                  <c:v>1035.9999999999998</c:v>
                </c:pt>
                <c:pt idx="20">
                  <c:v>1136</c:v>
                </c:pt>
                <c:pt idx="21">
                  <c:v>1136</c:v>
                </c:pt>
              </c:numCache>
            </c:numRef>
          </c:xVal>
          <c:yVal>
            <c:numRef>
              <c:f>US!$BH$56:$BH$77</c:f>
              <c:numCache>
                <c:formatCode>General</c:formatCode>
                <c:ptCount val="22"/>
                <c:pt idx="0">
                  <c:v>13</c:v>
                </c:pt>
                <c:pt idx="1">
                  <c:v>13</c:v>
                </c:pt>
                <c:pt idx="2">
                  <c:v>13.75</c:v>
                </c:pt>
                <c:pt idx="3">
                  <c:v>14.25</c:v>
                </c:pt>
                <c:pt idx="4">
                  <c:v>15.242000000000001</c:v>
                </c:pt>
                <c:pt idx="5">
                  <c:v>15.742000000000001</c:v>
                </c:pt>
                <c:pt idx="6">
                  <c:v>16.352</c:v>
                </c:pt>
                <c:pt idx="7">
                  <c:v>16.852</c:v>
                </c:pt>
                <c:pt idx="8">
                  <c:v>17.852</c:v>
                </c:pt>
                <c:pt idx="9">
                  <c:v>18.352</c:v>
                </c:pt>
                <c:pt idx="10">
                  <c:v>21.352</c:v>
                </c:pt>
                <c:pt idx="11">
                  <c:v>21.852</c:v>
                </c:pt>
                <c:pt idx="12">
                  <c:v>23.052</c:v>
                </c:pt>
                <c:pt idx="13">
                  <c:v>23.552</c:v>
                </c:pt>
                <c:pt idx="14">
                  <c:v>24.751999999999999</c:v>
                </c:pt>
                <c:pt idx="15">
                  <c:v>25.251999999999999</c:v>
                </c:pt>
                <c:pt idx="16">
                  <c:v>26.251999999999999</c:v>
                </c:pt>
                <c:pt idx="17">
                  <c:v>26.751999999999999</c:v>
                </c:pt>
                <c:pt idx="18">
                  <c:v>27.751999999999999</c:v>
                </c:pt>
                <c:pt idx="19">
                  <c:v>28.251999999999999</c:v>
                </c:pt>
                <c:pt idx="20">
                  <c:v>29.251999999999999</c:v>
                </c:pt>
                <c:pt idx="21">
                  <c:v>29.751999999999999</c:v>
                </c:pt>
              </c:numCache>
            </c:numRef>
          </c:yVal>
          <c:smooth val="0"/>
          <c:extLst>
            <c:ext xmlns:c16="http://schemas.microsoft.com/office/drawing/2014/chart" uri="{C3380CC4-5D6E-409C-BE32-E72D297353CC}">
              <c16:uniqueId val="{00000001-918C-4F16-9AE5-27D761FAD50F}"/>
            </c:ext>
          </c:extLst>
        </c:ser>
        <c:ser>
          <c:idx val="4"/>
          <c:order val="2"/>
          <c:tx>
            <c:v>Top of Pipe</c:v>
          </c:tx>
          <c:spPr>
            <a:ln w="19050" cap="rnd">
              <a:solidFill>
                <a:schemeClr val="tx2"/>
              </a:solidFill>
              <a:round/>
            </a:ln>
            <a:effectLst/>
          </c:spPr>
          <c:marker>
            <c:symbol val="none"/>
          </c:marker>
          <c:xVal>
            <c:numRef>
              <c:f>US!$BG$56:$BG$77</c:f>
              <c:numCache>
                <c:formatCode>General</c:formatCode>
                <c:ptCount val="22"/>
                <c:pt idx="0">
                  <c:v>0</c:v>
                </c:pt>
                <c:pt idx="1">
                  <c:v>0</c:v>
                </c:pt>
                <c:pt idx="2">
                  <c:v>150</c:v>
                </c:pt>
                <c:pt idx="3">
                  <c:v>150</c:v>
                </c:pt>
                <c:pt idx="4">
                  <c:v>273.99999999999994</c:v>
                </c:pt>
                <c:pt idx="5">
                  <c:v>273.99999999999994</c:v>
                </c:pt>
                <c:pt idx="6">
                  <c:v>395.99999999999994</c:v>
                </c:pt>
                <c:pt idx="7">
                  <c:v>395.99999999999994</c:v>
                </c:pt>
                <c:pt idx="8">
                  <c:v>495.99999999999994</c:v>
                </c:pt>
                <c:pt idx="9">
                  <c:v>495.99999999999994</c:v>
                </c:pt>
                <c:pt idx="10">
                  <c:v>595.99999999999989</c:v>
                </c:pt>
                <c:pt idx="11">
                  <c:v>595.99999999999989</c:v>
                </c:pt>
                <c:pt idx="12">
                  <c:v>715.99999999999989</c:v>
                </c:pt>
                <c:pt idx="13">
                  <c:v>715.99999999999989</c:v>
                </c:pt>
                <c:pt idx="14">
                  <c:v>835.99999999999989</c:v>
                </c:pt>
                <c:pt idx="15">
                  <c:v>835.99999999999989</c:v>
                </c:pt>
                <c:pt idx="16">
                  <c:v>935.99999999999989</c:v>
                </c:pt>
                <c:pt idx="17">
                  <c:v>935.99999999999989</c:v>
                </c:pt>
                <c:pt idx="18">
                  <c:v>1035.9999999999998</c:v>
                </c:pt>
                <c:pt idx="19">
                  <c:v>1035.9999999999998</c:v>
                </c:pt>
                <c:pt idx="20">
                  <c:v>1136</c:v>
                </c:pt>
                <c:pt idx="21">
                  <c:v>1136</c:v>
                </c:pt>
              </c:numCache>
            </c:numRef>
          </c:xVal>
          <c:yVal>
            <c:numRef>
              <c:f>US!$BI$56:$BI$77</c:f>
              <c:numCache>
                <c:formatCode>General</c:formatCode>
                <c:ptCount val="22"/>
                <c:pt idx="0">
                  <c:v>14.75</c:v>
                </c:pt>
                <c:pt idx="1">
                  <c:v>14.75</c:v>
                </c:pt>
                <c:pt idx="2">
                  <c:v>15.5</c:v>
                </c:pt>
                <c:pt idx="3">
                  <c:v>16</c:v>
                </c:pt>
                <c:pt idx="4">
                  <c:v>16.742000000000001</c:v>
                </c:pt>
                <c:pt idx="5">
                  <c:v>17.242000000000001</c:v>
                </c:pt>
                <c:pt idx="6">
                  <c:v>17.602</c:v>
                </c:pt>
                <c:pt idx="7">
                  <c:v>18.102</c:v>
                </c:pt>
                <c:pt idx="8">
                  <c:v>19.102000000000004</c:v>
                </c:pt>
                <c:pt idx="9">
                  <c:v>19.602000000000004</c:v>
                </c:pt>
                <c:pt idx="10">
                  <c:v>22.602</c:v>
                </c:pt>
                <c:pt idx="11">
                  <c:v>23.102</c:v>
                </c:pt>
                <c:pt idx="12">
                  <c:v>24.302</c:v>
                </c:pt>
                <c:pt idx="13">
                  <c:v>24.802</c:v>
                </c:pt>
                <c:pt idx="14">
                  <c:v>25.751999999999999</c:v>
                </c:pt>
                <c:pt idx="15">
                  <c:v>26.251999999999999</c:v>
                </c:pt>
                <c:pt idx="16">
                  <c:v>27.251999999999999</c:v>
                </c:pt>
                <c:pt idx="17">
                  <c:v>27.751999999999999</c:v>
                </c:pt>
                <c:pt idx="18">
                  <c:v>28.751999999999999</c:v>
                </c:pt>
                <c:pt idx="19">
                  <c:v>29.251999999999999</c:v>
                </c:pt>
                <c:pt idx="20">
                  <c:v>30.252000000000006</c:v>
                </c:pt>
                <c:pt idx="21">
                  <c:v>30.752000000000006</c:v>
                </c:pt>
              </c:numCache>
            </c:numRef>
          </c:yVal>
          <c:smooth val="0"/>
          <c:extLst>
            <c:ext xmlns:c16="http://schemas.microsoft.com/office/drawing/2014/chart" uri="{C3380CC4-5D6E-409C-BE32-E72D297353CC}">
              <c16:uniqueId val="{00000002-918C-4F16-9AE5-27D761FAD50F}"/>
            </c:ext>
          </c:extLst>
        </c:ser>
        <c:ser>
          <c:idx val="5"/>
          <c:order val="3"/>
          <c:tx>
            <c:v>HGL</c:v>
          </c:tx>
          <c:spPr>
            <a:ln w="19050" cap="rnd">
              <a:solidFill>
                <a:srgbClr val="92D050"/>
              </a:solidFill>
              <a:prstDash val="sysDot"/>
              <a:round/>
            </a:ln>
            <a:effectLst/>
          </c:spPr>
          <c:marker>
            <c:symbol val="none"/>
          </c:marker>
          <c:xVal>
            <c:numRef>
              <c:f>US!$BG$56:$BG$77</c:f>
              <c:numCache>
                <c:formatCode>General</c:formatCode>
                <c:ptCount val="22"/>
                <c:pt idx="0">
                  <c:v>0</c:v>
                </c:pt>
                <c:pt idx="1">
                  <c:v>0</c:v>
                </c:pt>
                <c:pt idx="2">
                  <c:v>150</c:v>
                </c:pt>
                <c:pt idx="3">
                  <c:v>150</c:v>
                </c:pt>
                <c:pt idx="4">
                  <c:v>273.99999999999994</c:v>
                </c:pt>
                <c:pt idx="5">
                  <c:v>273.99999999999994</c:v>
                </c:pt>
                <c:pt idx="6">
                  <c:v>395.99999999999994</c:v>
                </c:pt>
                <c:pt idx="7">
                  <c:v>395.99999999999994</c:v>
                </c:pt>
                <c:pt idx="8">
                  <c:v>495.99999999999994</c:v>
                </c:pt>
                <c:pt idx="9">
                  <c:v>495.99999999999994</c:v>
                </c:pt>
                <c:pt idx="10">
                  <c:v>595.99999999999989</c:v>
                </c:pt>
                <c:pt idx="11">
                  <c:v>595.99999999999989</c:v>
                </c:pt>
                <c:pt idx="12">
                  <c:v>715.99999999999989</c:v>
                </c:pt>
                <c:pt idx="13">
                  <c:v>715.99999999999989</c:v>
                </c:pt>
                <c:pt idx="14">
                  <c:v>835.99999999999989</c:v>
                </c:pt>
                <c:pt idx="15">
                  <c:v>835.99999999999989</c:v>
                </c:pt>
                <c:pt idx="16">
                  <c:v>935.99999999999989</c:v>
                </c:pt>
                <c:pt idx="17">
                  <c:v>935.99999999999989</c:v>
                </c:pt>
                <c:pt idx="18">
                  <c:v>1035.9999999999998</c:v>
                </c:pt>
                <c:pt idx="19">
                  <c:v>1035.9999999999998</c:v>
                </c:pt>
                <c:pt idx="20">
                  <c:v>1136</c:v>
                </c:pt>
                <c:pt idx="21">
                  <c:v>1136</c:v>
                </c:pt>
              </c:numCache>
            </c:numRef>
          </c:xVal>
          <c:yVal>
            <c:numRef>
              <c:f>US!$BJ$56:$BJ$77</c:f>
              <c:numCache>
                <c:formatCode>General</c:formatCode>
                <c:ptCount val="22"/>
                <c:pt idx="0">
                  <c:v>12.95</c:v>
                </c:pt>
                <c:pt idx="1">
                  <c:v>12.95</c:v>
                </c:pt>
                <c:pt idx="2">
                  <c:v>13.832593433790663</c:v>
                </c:pt>
                <c:pt idx="3">
                  <c:v>14.312459992597502</c:v>
                </c:pt>
                <c:pt idx="4">
                  <c:v>14.779409778099227</c:v>
                </c:pt>
                <c:pt idx="5">
                  <c:v>15.086524375735603</c:v>
                </c:pt>
                <c:pt idx="6">
                  <c:v>15.99453407075981</c:v>
                </c:pt>
                <c:pt idx="7">
                  <c:v>16.494603344933083</c:v>
                </c:pt>
                <c:pt idx="8">
                  <c:v>18.437443511495236</c:v>
                </c:pt>
                <c:pt idx="9">
                  <c:v>20.511330805346638</c:v>
                </c:pt>
                <c:pt idx="10">
                  <c:v>21.754745900065348</c:v>
                </c:pt>
                <c:pt idx="11">
                  <c:v>22.418389834097795</c:v>
                </c:pt>
                <c:pt idx="12">
                  <c:v>23.67216554398065</c:v>
                </c:pt>
                <c:pt idx="13">
                  <c:v>24.229810794105134</c:v>
                </c:pt>
                <c:pt idx="14">
                  <c:v>25.265987910839801</c:v>
                </c:pt>
                <c:pt idx="15">
                  <c:v>25.726851753917888</c:v>
                </c:pt>
                <c:pt idx="16">
                  <c:v>28.525558741743492</c:v>
                </c:pt>
                <c:pt idx="17">
                  <c:v>29.650714608633358</c:v>
                </c:pt>
                <c:pt idx="18">
                  <c:v>31.441882520248647</c:v>
                </c:pt>
                <c:pt idx="19">
                  <c:v>32.161982275058158</c:v>
                </c:pt>
                <c:pt idx="20">
                  <c:v>33.16951006944295</c:v>
                </c:pt>
                <c:pt idx="21">
                  <c:v>33.574566181523302</c:v>
                </c:pt>
              </c:numCache>
            </c:numRef>
          </c:yVal>
          <c:smooth val="0"/>
          <c:extLst>
            <c:ext xmlns:c16="http://schemas.microsoft.com/office/drawing/2014/chart" uri="{C3380CC4-5D6E-409C-BE32-E72D297353CC}">
              <c16:uniqueId val="{00000003-918C-4F16-9AE5-27D761FAD50F}"/>
            </c:ext>
          </c:extLst>
        </c:ser>
        <c:ser>
          <c:idx val="6"/>
          <c:order val="4"/>
          <c:tx>
            <c:v>EGL</c:v>
          </c:tx>
          <c:spPr>
            <a:ln w="19050" cap="rnd">
              <a:solidFill>
                <a:srgbClr val="00B0F0"/>
              </a:solidFill>
              <a:prstDash val="sysDot"/>
              <a:round/>
            </a:ln>
            <a:effectLst/>
          </c:spPr>
          <c:marker>
            <c:symbol val="none"/>
          </c:marker>
          <c:xVal>
            <c:numRef>
              <c:f>US!$BG$56:$BG$77</c:f>
              <c:numCache>
                <c:formatCode>General</c:formatCode>
                <c:ptCount val="22"/>
                <c:pt idx="0">
                  <c:v>0</c:v>
                </c:pt>
                <c:pt idx="1">
                  <c:v>0</c:v>
                </c:pt>
                <c:pt idx="2">
                  <c:v>150</c:v>
                </c:pt>
                <c:pt idx="3">
                  <c:v>150</c:v>
                </c:pt>
                <c:pt idx="4">
                  <c:v>273.99999999999994</c:v>
                </c:pt>
                <c:pt idx="5">
                  <c:v>273.99999999999994</c:v>
                </c:pt>
                <c:pt idx="6">
                  <c:v>395.99999999999994</c:v>
                </c:pt>
                <c:pt idx="7">
                  <c:v>395.99999999999994</c:v>
                </c:pt>
                <c:pt idx="8">
                  <c:v>495.99999999999994</c:v>
                </c:pt>
                <c:pt idx="9">
                  <c:v>495.99999999999994</c:v>
                </c:pt>
                <c:pt idx="10">
                  <c:v>595.99999999999989</c:v>
                </c:pt>
                <c:pt idx="11">
                  <c:v>595.99999999999989</c:v>
                </c:pt>
                <c:pt idx="12">
                  <c:v>715.99999999999989</c:v>
                </c:pt>
                <c:pt idx="13">
                  <c:v>715.99999999999989</c:v>
                </c:pt>
                <c:pt idx="14">
                  <c:v>835.99999999999989</c:v>
                </c:pt>
                <c:pt idx="15">
                  <c:v>835.99999999999989</c:v>
                </c:pt>
                <c:pt idx="16">
                  <c:v>935.99999999999989</c:v>
                </c:pt>
                <c:pt idx="17">
                  <c:v>935.99999999999989</c:v>
                </c:pt>
                <c:pt idx="18">
                  <c:v>1035.9999999999998</c:v>
                </c:pt>
                <c:pt idx="19">
                  <c:v>1035.9999999999998</c:v>
                </c:pt>
                <c:pt idx="20">
                  <c:v>1136</c:v>
                </c:pt>
                <c:pt idx="21">
                  <c:v>1136</c:v>
                </c:pt>
              </c:numCache>
            </c:numRef>
          </c:xVal>
          <c:yVal>
            <c:numRef>
              <c:f>US!$BK$56:$BK$77</c:f>
              <c:numCache>
                <c:formatCode>General</c:formatCode>
                <c:ptCount val="22"/>
                <c:pt idx="0">
                  <c:v>13.42986655880684</c:v>
                </c:pt>
                <c:pt idx="1">
                  <c:v>13.42986655880684</c:v>
                </c:pt>
                <c:pt idx="2">
                  <c:v>14.139708031427038</c:v>
                </c:pt>
                <c:pt idx="3">
                  <c:v>14.619574590233878</c:v>
                </c:pt>
                <c:pt idx="4">
                  <c:v>15.279479052272501</c:v>
                </c:pt>
                <c:pt idx="5">
                  <c:v>15.586593649908878</c:v>
                </c:pt>
                <c:pt idx="6">
                  <c:v>17.031477717685512</c:v>
                </c:pt>
                <c:pt idx="7">
                  <c:v>17.531546991858786</c:v>
                </c:pt>
                <c:pt idx="8">
                  <c:v>19.101087445527686</c:v>
                </c:pt>
                <c:pt idx="9">
                  <c:v>21.174974739379085</c:v>
                </c:pt>
                <c:pt idx="10">
                  <c:v>22.312391150189832</c:v>
                </c:pt>
                <c:pt idx="11">
                  <c:v>22.976035084222282</c:v>
                </c:pt>
                <c:pt idx="12">
                  <c:v>24.133029387058738</c:v>
                </c:pt>
                <c:pt idx="13">
                  <c:v>24.690674637183228</c:v>
                </c:pt>
                <c:pt idx="14">
                  <c:v>26.391143777729667</c:v>
                </c:pt>
                <c:pt idx="15">
                  <c:v>26.852007620807758</c:v>
                </c:pt>
                <c:pt idx="16">
                  <c:v>29.245658496553006</c:v>
                </c:pt>
                <c:pt idx="17">
                  <c:v>30.370814363442868</c:v>
                </c:pt>
                <c:pt idx="18">
                  <c:v>31.846938632329</c:v>
                </c:pt>
                <c:pt idx="19">
                  <c:v>32.56703838713851</c:v>
                </c:pt>
                <c:pt idx="20">
                  <c:v>33.574566181523302</c:v>
                </c:pt>
                <c:pt idx="21">
                  <c:v>33.979622293603654</c:v>
                </c:pt>
              </c:numCache>
            </c:numRef>
          </c:yVal>
          <c:smooth val="0"/>
          <c:extLst>
            <c:ext xmlns:c16="http://schemas.microsoft.com/office/drawing/2014/chart" uri="{C3380CC4-5D6E-409C-BE32-E72D297353CC}">
              <c16:uniqueId val="{00000004-918C-4F16-9AE5-27D761FAD50F}"/>
            </c:ext>
          </c:extLst>
        </c:ser>
        <c:dLbls>
          <c:showLegendKey val="0"/>
          <c:showVal val="0"/>
          <c:showCatName val="0"/>
          <c:showSerName val="0"/>
          <c:showPercent val="0"/>
          <c:showBubbleSize val="0"/>
        </c:dLbls>
        <c:axId val="1323174784"/>
        <c:axId val="1323170464"/>
      </c:scatterChart>
      <c:valAx>
        <c:axId val="1323174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0464"/>
        <c:crosses val="autoZero"/>
        <c:crossBetween val="midCat"/>
      </c:valAx>
      <c:valAx>
        <c:axId val="1323170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3174784"/>
        <c:crosses val="autoZero"/>
        <c:crossBetween val="midCat"/>
      </c:valAx>
      <c:spPr>
        <a:noFill/>
        <a:ln>
          <a:noFill/>
        </a:ln>
        <a:effectLst/>
      </c:spPr>
    </c:plotArea>
    <c:legend>
      <c:legendPos val="r"/>
      <c:layout>
        <c:manualLayout>
          <c:xMode val="edge"/>
          <c:yMode val="edge"/>
          <c:x val="4.6137395868994603E-2"/>
          <c:y val="4.4397526287132158E-2"/>
          <c:w val="0.10608211369700671"/>
          <c:h val="0.203070013360243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36</xdr:col>
      <xdr:colOff>76200</xdr:colOff>
      <xdr:row>7</xdr:row>
      <xdr:rowOff>30480</xdr:rowOff>
    </xdr:from>
    <xdr:to>
      <xdr:col>48</xdr:col>
      <xdr:colOff>579120</xdr:colOff>
      <xdr:row>36</xdr:row>
      <xdr:rowOff>45720</xdr:rowOff>
    </xdr:to>
    <xdr:graphicFrame macro="">
      <xdr:nvGraphicFramePr>
        <xdr:cNvPr id="2" name="Chart 1">
          <a:extLst>
            <a:ext uri="{FF2B5EF4-FFF2-40B4-BE49-F238E27FC236}">
              <a16:creationId xmlns:a16="http://schemas.microsoft.com/office/drawing/2014/main" id="{C551754C-0A20-4B16-B616-FB232C709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160020</xdr:colOff>
      <xdr:row>26</xdr:row>
      <xdr:rowOff>24765</xdr:rowOff>
    </xdr:from>
    <xdr:to>
      <xdr:col>45</xdr:col>
      <xdr:colOff>525780</xdr:colOff>
      <xdr:row>53</xdr:row>
      <xdr:rowOff>100965</xdr:rowOff>
    </xdr:to>
    <xdr:graphicFrame macro="">
      <xdr:nvGraphicFramePr>
        <xdr:cNvPr id="2" name="Chart 1">
          <a:extLst>
            <a:ext uri="{FF2B5EF4-FFF2-40B4-BE49-F238E27FC236}">
              <a16:creationId xmlns:a16="http://schemas.microsoft.com/office/drawing/2014/main" id="{61BD2171-EB80-1141-2CA2-2DB5EBDAEF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197223</xdr:colOff>
      <xdr:row>36</xdr:row>
      <xdr:rowOff>179294</xdr:rowOff>
    </xdr:from>
    <xdr:to>
      <xdr:col>71</xdr:col>
      <xdr:colOff>286871</xdr:colOff>
      <xdr:row>63</xdr:row>
      <xdr:rowOff>17929</xdr:rowOff>
    </xdr:to>
    <xdr:graphicFrame macro="">
      <xdr:nvGraphicFramePr>
        <xdr:cNvPr id="2" name="Chart 1">
          <a:extLst>
            <a:ext uri="{FF2B5EF4-FFF2-40B4-BE49-F238E27FC236}">
              <a16:creationId xmlns:a16="http://schemas.microsoft.com/office/drawing/2014/main" id="{8DCB39C8-E7D0-408A-A688-ECE7CB15E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167640</xdr:colOff>
      <xdr:row>12</xdr:row>
      <xdr:rowOff>85725</xdr:rowOff>
    </xdr:from>
    <xdr:to>
      <xdr:col>87</xdr:col>
      <xdr:colOff>601980</xdr:colOff>
      <xdr:row>39</xdr:row>
      <xdr:rowOff>15240</xdr:rowOff>
    </xdr:to>
    <xdr:graphicFrame macro="">
      <xdr:nvGraphicFramePr>
        <xdr:cNvPr id="2" name="Chart 1">
          <a:extLst>
            <a:ext uri="{FF2B5EF4-FFF2-40B4-BE49-F238E27FC236}">
              <a16:creationId xmlns:a16="http://schemas.microsoft.com/office/drawing/2014/main" id="{2BB3A4F8-5557-4F3F-8226-FCCCA18BF8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ghting/Lighting%20Tow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Wind Loading Standard Method"/>
      <sheetName val="Wind Loading Directional Method"/>
      <sheetName val="Sheet3"/>
    </sheetNames>
    <sheetDataSet>
      <sheetData sheetId="0">
        <row r="9">
          <cell r="B9" t="str">
            <v>And where D/t ratio does not exceed 200</v>
          </cell>
        </row>
        <row r="10">
          <cell r="B10" t="str">
            <v>D = section diameter</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vilweb-spreadsheets.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5"/>
  <sheetViews>
    <sheetView view="pageBreakPreview" zoomScaleNormal="100" zoomScaleSheetLayoutView="100" workbookViewId="0">
      <selection activeCell="AE24" sqref="AE24"/>
    </sheetView>
  </sheetViews>
  <sheetFormatPr defaultColWidth="9.109375" defaultRowHeight="14.4"/>
  <cols>
    <col min="1" max="1" width="1" style="32" customWidth="1"/>
    <col min="2" max="36" width="2.44140625" style="32" customWidth="1"/>
    <col min="37" max="92" width="9.109375" style="32"/>
    <col min="93" max="16384" width="9.109375" style="33"/>
  </cols>
  <sheetData>
    <row r="1" spans="1:92" ht="15" thickBot="1">
      <c r="A1" s="31"/>
      <c r="B1" s="142" t="s">
        <v>7</v>
      </c>
      <c r="C1" s="143"/>
      <c r="D1" s="143"/>
      <c r="E1" s="143"/>
      <c r="F1" s="143"/>
      <c r="G1" s="144" t="s">
        <v>237</v>
      </c>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2" t="s">
        <v>23</v>
      </c>
      <c r="AG1" s="143"/>
      <c r="AH1" s="143"/>
      <c r="AI1" s="143"/>
      <c r="AJ1" s="143"/>
      <c r="BR1" s="33"/>
      <c r="BS1" s="33"/>
      <c r="BT1" s="33"/>
      <c r="BU1" s="33"/>
      <c r="BV1" s="33"/>
      <c r="BW1" s="33"/>
      <c r="BX1" s="33"/>
      <c r="BY1" s="33"/>
      <c r="BZ1" s="33"/>
      <c r="CA1" s="33"/>
      <c r="CB1" s="33"/>
      <c r="CC1" s="33"/>
      <c r="CD1" s="33"/>
      <c r="CE1" s="33"/>
      <c r="CF1" s="33"/>
      <c r="CG1" s="33"/>
      <c r="CH1" s="33"/>
      <c r="CI1" s="33"/>
      <c r="CJ1" s="33"/>
      <c r="CK1" s="33"/>
      <c r="CL1" s="33"/>
      <c r="CM1" s="33"/>
      <c r="CN1" s="33"/>
    </row>
    <row r="2" spans="1:92">
      <c r="A2" s="31"/>
      <c r="B2" s="426" t="s">
        <v>0</v>
      </c>
      <c r="C2" s="427"/>
      <c r="D2" s="427"/>
      <c r="E2" s="427"/>
      <c r="F2" s="428"/>
      <c r="G2" s="435" t="s">
        <v>1</v>
      </c>
      <c r="H2" s="436"/>
      <c r="I2" s="436"/>
      <c r="J2" s="436"/>
      <c r="K2" s="436"/>
      <c r="L2" s="436"/>
      <c r="M2" s="437"/>
      <c r="N2" s="438"/>
      <c r="O2" s="438"/>
      <c r="P2" s="438"/>
      <c r="Q2" s="438"/>
      <c r="R2" s="438"/>
      <c r="S2" s="438"/>
      <c r="T2" s="438"/>
      <c r="U2" s="438"/>
      <c r="V2" s="438"/>
      <c r="W2" s="438"/>
      <c r="X2" s="438"/>
      <c r="Y2" s="438"/>
      <c r="Z2" s="438"/>
      <c r="AA2" s="438"/>
      <c r="AB2" s="438"/>
      <c r="AC2" s="438"/>
      <c r="AD2" s="438"/>
      <c r="AE2" s="439"/>
      <c r="AF2" s="440" t="s">
        <v>2</v>
      </c>
      <c r="AG2" s="436"/>
      <c r="AH2" s="436"/>
      <c r="AI2" s="436"/>
      <c r="AJ2" s="441"/>
      <c r="BR2" s="33"/>
      <c r="BS2" s="33"/>
      <c r="BT2" s="33"/>
      <c r="BU2" s="33"/>
      <c r="BV2" s="33"/>
      <c r="BW2" s="33"/>
      <c r="BX2" s="33"/>
      <c r="BY2" s="33"/>
      <c r="BZ2" s="33"/>
      <c r="CA2" s="33"/>
      <c r="CB2" s="33"/>
      <c r="CC2" s="33"/>
      <c r="CD2" s="33"/>
      <c r="CE2" s="33"/>
      <c r="CF2" s="33"/>
      <c r="CG2" s="33"/>
      <c r="CH2" s="33"/>
      <c r="CI2" s="33"/>
      <c r="CJ2" s="33"/>
      <c r="CK2" s="33"/>
      <c r="CL2" s="33"/>
      <c r="CM2" s="33"/>
      <c r="CN2" s="33"/>
    </row>
    <row r="3" spans="1:92">
      <c r="A3" s="31"/>
      <c r="B3" s="429"/>
      <c r="C3" s="430"/>
      <c r="D3" s="430"/>
      <c r="E3" s="430"/>
      <c r="F3" s="431"/>
      <c r="G3" s="442" t="s">
        <v>3</v>
      </c>
      <c r="H3" s="161"/>
      <c r="I3" s="161"/>
      <c r="J3" s="161"/>
      <c r="K3" s="161"/>
      <c r="L3" s="443"/>
      <c r="M3" s="160" t="s">
        <v>22</v>
      </c>
      <c r="N3" s="161"/>
      <c r="O3" s="161"/>
      <c r="P3" s="161"/>
      <c r="Q3" s="161"/>
      <c r="R3" s="161"/>
      <c r="S3" s="161"/>
      <c r="T3" s="161"/>
      <c r="U3" s="161"/>
      <c r="V3" s="161"/>
      <c r="W3" s="161"/>
      <c r="X3" s="161"/>
      <c r="Y3" s="161"/>
      <c r="Z3" s="161"/>
      <c r="AA3" s="161"/>
      <c r="AB3" s="161"/>
      <c r="AC3" s="161"/>
      <c r="AD3" s="161"/>
      <c r="AE3" s="162"/>
      <c r="AF3" s="444"/>
      <c r="AG3" s="161"/>
      <c r="AH3" s="161"/>
      <c r="AI3" s="161"/>
      <c r="AJ3" s="445"/>
      <c r="BR3" s="33"/>
      <c r="BS3" s="33"/>
      <c r="BT3" s="33"/>
      <c r="BU3" s="33"/>
      <c r="BV3" s="33"/>
      <c r="BW3" s="33"/>
      <c r="BX3" s="33"/>
      <c r="BY3" s="33"/>
      <c r="BZ3" s="33"/>
      <c r="CA3" s="33"/>
      <c r="CB3" s="33"/>
      <c r="CC3" s="33"/>
      <c r="CD3" s="33"/>
      <c r="CE3" s="33"/>
      <c r="CF3" s="33"/>
      <c r="CG3" s="33"/>
      <c r="CH3" s="33"/>
      <c r="CI3" s="33"/>
      <c r="CJ3" s="33"/>
      <c r="CK3" s="33"/>
      <c r="CL3" s="33"/>
      <c r="CM3" s="33"/>
      <c r="CN3" s="33"/>
    </row>
    <row r="4" spans="1:92">
      <c r="A4" s="31"/>
      <c r="B4" s="429"/>
      <c r="C4" s="430"/>
      <c r="D4" s="430"/>
      <c r="E4" s="430"/>
      <c r="F4" s="431"/>
      <c r="G4" s="446"/>
      <c r="H4" s="447"/>
      <c r="I4" s="447"/>
      <c r="J4" s="447"/>
      <c r="K4" s="447"/>
      <c r="L4" s="447"/>
      <c r="M4" s="447"/>
      <c r="N4" s="447"/>
      <c r="O4" s="447"/>
      <c r="P4" s="447"/>
      <c r="Q4" s="447"/>
      <c r="R4" s="447"/>
      <c r="S4" s="447"/>
      <c r="T4" s="447"/>
      <c r="U4" s="447"/>
      <c r="V4" s="447"/>
      <c r="W4" s="447"/>
      <c r="X4" s="447"/>
      <c r="Y4" s="447"/>
      <c r="Z4" s="447"/>
      <c r="AA4" s="447"/>
      <c r="AB4" s="447"/>
      <c r="AC4" s="447"/>
      <c r="AD4" s="447"/>
      <c r="AE4" s="448"/>
      <c r="AF4" s="442" t="s">
        <v>4</v>
      </c>
      <c r="AG4" s="449"/>
      <c r="AH4" s="449"/>
      <c r="AI4" s="449"/>
      <c r="AJ4" s="450"/>
      <c r="BR4" s="33"/>
      <c r="BS4" s="33"/>
      <c r="BT4" s="33"/>
      <c r="BU4" s="33"/>
      <c r="BV4" s="33"/>
      <c r="BW4" s="33"/>
      <c r="BX4" s="33"/>
      <c r="BY4" s="33"/>
      <c r="BZ4" s="33"/>
      <c r="CA4" s="33"/>
      <c r="CB4" s="33"/>
      <c r="CC4" s="33"/>
      <c r="CD4" s="33"/>
      <c r="CE4" s="33"/>
      <c r="CF4" s="33"/>
      <c r="CG4" s="33"/>
      <c r="CH4" s="33"/>
      <c r="CI4" s="33"/>
      <c r="CJ4" s="33"/>
      <c r="CK4" s="33"/>
      <c r="CL4" s="33"/>
      <c r="CM4" s="33"/>
      <c r="CN4" s="33"/>
    </row>
    <row r="5" spans="1:92" ht="15" thickBot="1">
      <c r="A5" s="31"/>
      <c r="B5" s="432"/>
      <c r="C5" s="433"/>
      <c r="D5" s="433"/>
      <c r="E5" s="433"/>
      <c r="F5" s="434"/>
      <c r="G5" s="451" t="s">
        <v>5</v>
      </c>
      <c r="H5" s="452"/>
      <c r="I5" s="452"/>
      <c r="J5" s="452"/>
      <c r="K5" s="452"/>
      <c r="L5" s="453"/>
      <c r="M5" s="454" t="s">
        <v>8</v>
      </c>
      <c r="N5" s="389"/>
      <c r="O5" s="389"/>
      <c r="P5" s="389"/>
      <c r="Q5" s="389"/>
      <c r="R5" s="389"/>
      <c r="S5" s="455"/>
      <c r="T5" s="456" t="s">
        <v>6</v>
      </c>
      <c r="U5" s="451"/>
      <c r="V5" s="451"/>
      <c r="W5" s="451"/>
      <c r="X5" s="451"/>
      <c r="Y5" s="457"/>
      <c r="Z5" s="458"/>
      <c r="AA5" s="389"/>
      <c r="AB5" s="389"/>
      <c r="AC5" s="389"/>
      <c r="AD5" s="389"/>
      <c r="AE5" s="459"/>
      <c r="AF5" s="388"/>
      <c r="AG5" s="389"/>
      <c r="AH5" s="389"/>
      <c r="AI5" s="389"/>
      <c r="AJ5" s="390"/>
      <c r="BR5" s="33"/>
      <c r="BS5" s="33"/>
      <c r="BT5" s="33"/>
      <c r="BU5" s="33"/>
      <c r="BV5" s="33"/>
      <c r="BW5" s="33"/>
      <c r="BX5" s="33"/>
      <c r="BY5" s="33"/>
      <c r="BZ5" s="33"/>
      <c r="CA5" s="33"/>
      <c r="CB5" s="33"/>
      <c r="CC5" s="33"/>
      <c r="CD5" s="33"/>
      <c r="CE5" s="33"/>
      <c r="CF5" s="33"/>
      <c r="CG5" s="33"/>
      <c r="CH5" s="33"/>
      <c r="CI5" s="33"/>
      <c r="CJ5" s="33"/>
      <c r="CK5" s="33"/>
      <c r="CL5" s="33"/>
      <c r="CM5" s="33"/>
      <c r="CN5" s="33"/>
    </row>
    <row r="6" spans="1:92">
      <c r="A6" s="31"/>
      <c r="B6" s="34"/>
      <c r="C6" s="35"/>
      <c r="D6" s="35"/>
      <c r="E6" s="35"/>
      <c r="F6" s="36"/>
      <c r="G6" s="37"/>
      <c r="H6" s="38"/>
      <c r="I6" s="38"/>
      <c r="J6" s="38"/>
      <c r="K6" s="38"/>
      <c r="L6" s="38"/>
      <c r="M6" s="38"/>
      <c r="N6" s="38"/>
      <c r="O6" s="38"/>
      <c r="P6" s="38"/>
      <c r="Q6" s="38"/>
      <c r="R6" s="38"/>
      <c r="S6" s="38"/>
      <c r="T6" s="38"/>
      <c r="U6" s="38"/>
      <c r="V6" s="38"/>
      <c r="W6" s="38"/>
      <c r="X6" s="35"/>
      <c r="Y6" s="35"/>
      <c r="Z6" s="35"/>
      <c r="AA6" s="35"/>
      <c r="AB6" s="35"/>
      <c r="AC6" s="35"/>
      <c r="AD6" s="35"/>
      <c r="AE6" s="39"/>
      <c r="AF6" s="40"/>
      <c r="AG6" s="35"/>
      <c r="AH6" s="35"/>
      <c r="AI6" s="35"/>
      <c r="AJ6" s="41"/>
      <c r="BR6" s="33"/>
      <c r="BS6" s="33"/>
      <c r="BT6" s="33"/>
      <c r="BU6" s="33"/>
      <c r="BV6" s="33"/>
      <c r="BW6" s="33"/>
      <c r="BX6" s="33"/>
      <c r="BY6" s="33"/>
      <c r="BZ6" s="33"/>
      <c r="CA6" s="33"/>
      <c r="CB6" s="33"/>
      <c r="CC6" s="33"/>
      <c r="CD6" s="33"/>
      <c r="CE6" s="33"/>
      <c r="CF6" s="33"/>
      <c r="CG6" s="33"/>
      <c r="CH6" s="33"/>
      <c r="CI6" s="33"/>
      <c r="CJ6" s="33"/>
      <c r="CK6" s="33"/>
      <c r="CL6" s="33"/>
      <c r="CM6" s="33"/>
      <c r="CN6" s="33"/>
    </row>
    <row r="7" spans="1:92">
      <c r="A7" s="31"/>
      <c r="B7" s="42"/>
      <c r="C7" s="43"/>
      <c r="D7" s="43"/>
      <c r="E7" s="43"/>
      <c r="F7" s="44"/>
      <c r="G7" s="45"/>
      <c r="H7" s="399" t="s">
        <v>9</v>
      </c>
      <c r="I7" s="400"/>
      <c r="J7" s="400"/>
      <c r="K7" s="400"/>
      <c r="L7" s="400"/>
      <c r="M7" s="400"/>
      <c r="N7" s="400"/>
      <c r="O7" s="400"/>
      <c r="P7" s="400"/>
      <c r="Q7" s="400"/>
      <c r="R7" s="400"/>
      <c r="S7" s="400"/>
      <c r="T7" s="400"/>
      <c r="U7" s="400"/>
      <c r="V7" s="400"/>
      <c r="W7" s="400"/>
      <c r="X7" s="400"/>
      <c r="Y7" s="400"/>
      <c r="Z7" s="400"/>
      <c r="AA7" s="400"/>
      <c r="AB7" s="400"/>
      <c r="AC7" s="400"/>
      <c r="AD7" s="401"/>
      <c r="AE7" s="46"/>
      <c r="AF7" s="47"/>
      <c r="AG7" s="43"/>
      <c r="AH7" s="43"/>
      <c r="AI7" s="43"/>
      <c r="AJ7" s="48"/>
      <c r="BR7" s="33"/>
      <c r="BS7" s="33"/>
      <c r="BT7" s="33"/>
      <c r="BU7" s="33"/>
      <c r="BV7" s="33"/>
      <c r="BW7" s="33"/>
      <c r="BX7" s="33"/>
      <c r="BY7" s="33"/>
      <c r="BZ7" s="33"/>
      <c r="CA7" s="33"/>
      <c r="CB7" s="33"/>
      <c r="CC7" s="33"/>
      <c r="CD7" s="33"/>
      <c r="CE7" s="33"/>
      <c r="CF7" s="33"/>
      <c r="CG7" s="33"/>
      <c r="CH7" s="33"/>
      <c r="CI7" s="33"/>
      <c r="CJ7" s="33"/>
      <c r="CK7" s="33"/>
      <c r="CL7" s="33"/>
      <c r="CM7" s="33"/>
      <c r="CN7" s="33"/>
    </row>
    <row r="8" spans="1:92">
      <c r="A8" s="31"/>
      <c r="B8" s="42"/>
      <c r="C8" s="43"/>
      <c r="D8" s="43"/>
      <c r="E8" s="43"/>
      <c r="F8" s="44"/>
      <c r="G8" s="45"/>
      <c r="H8" s="402"/>
      <c r="I8" s="403"/>
      <c r="J8" s="403"/>
      <c r="K8" s="403"/>
      <c r="L8" s="403"/>
      <c r="M8" s="403"/>
      <c r="N8" s="403"/>
      <c r="O8" s="403"/>
      <c r="P8" s="403"/>
      <c r="Q8" s="403"/>
      <c r="R8" s="403"/>
      <c r="S8" s="403"/>
      <c r="T8" s="403"/>
      <c r="U8" s="403"/>
      <c r="V8" s="403"/>
      <c r="W8" s="403"/>
      <c r="X8" s="403"/>
      <c r="Y8" s="403"/>
      <c r="Z8" s="403"/>
      <c r="AA8" s="403"/>
      <c r="AB8" s="403"/>
      <c r="AC8" s="403"/>
      <c r="AD8" s="404"/>
      <c r="AE8" s="46"/>
      <c r="AF8" s="47"/>
      <c r="AG8" s="43"/>
      <c r="AH8" s="43"/>
      <c r="AI8" s="43"/>
      <c r="AJ8" s="48"/>
      <c r="BR8" s="33"/>
      <c r="BS8" s="33"/>
      <c r="BT8" s="33"/>
      <c r="BU8" s="33"/>
      <c r="BV8" s="33"/>
      <c r="BW8" s="33"/>
      <c r="BX8" s="33"/>
      <c r="BY8" s="33"/>
      <c r="BZ8" s="33"/>
      <c r="CA8" s="33"/>
      <c r="CB8" s="33"/>
      <c r="CC8" s="33"/>
      <c r="CD8" s="33"/>
      <c r="CE8" s="33"/>
      <c r="CF8" s="33"/>
      <c r="CG8" s="33"/>
      <c r="CH8" s="33"/>
      <c r="CI8" s="33"/>
      <c r="CJ8" s="33"/>
      <c r="CK8" s="33"/>
      <c r="CL8" s="33"/>
      <c r="CM8" s="33"/>
      <c r="CN8" s="33"/>
    </row>
    <row r="9" spans="1:92">
      <c r="A9" s="31"/>
      <c r="B9" s="42"/>
      <c r="C9" s="43"/>
      <c r="D9" s="43"/>
      <c r="E9" s="43"/>
      <c r="F9" s="44"/>
      <c r="G9" s="45"/>
      <c r="H9" s="405"/>
      <c r="I9" s="406"/>
      <c r="J9" s="406"/>
      <c r="K9" s="406"/>
      <c r="L9" s="406"/>
      <c r="M9" s="406"/>
      <c r="N9" s="406"/>
      <c r="O9" s="406"/>
      <c r="P9" s="406"/>
      <c r="Q9" s="406"/>
      <c r="R9" s="406"/>
      <c r="S9" s="406"/>
      <c r="T9" s="406"/>
      <c r="U9" s="406"/>
      <c r="V9" s="406"/>
      <c r="W9" s="406"/>
      <c r="X9" s="406"/>
      <c r="Y9" s="406"/>
      <c r="Z9" s="406"/>
      <c r="AA9" s="406"/>
      <c r="AB9" s="406"/>
      <c r="AC9" s="406"/>
      <c r="AD9" s="407"/>
      <c r="AE9" s="46"/>
      <c r="AF9" s="47"/>
      <c r="AG9" s="43"/>
      <c r="AH9" s="43"/>
      <c r="AI9" s="43"/>
      <c r="AJ9" s="48"/>
      <c r="BR9" s="33"/>
      <c r="BS9" s="33"/>
      <c r="BT9" s="33"/>
      <c r="BU9" s="33"/>
      <c r="BV9" s="33"/>
      <c r="BW9" s="33"/>
      <c r="BX9" s="33"/>
      <c r="BY9" s="33"/>
      <c r="BZ9" s="33"/>
      <c r="CA9" s="33"/>
      <c r="CB9" s="33"/>
      <c r="CC9" s="33"/>
      <c r="CD9" s="33"/>
      <c r="CE9" s="33"/>
      <c r="CF9" s="33"/>
      <c r="CG9" s="33"/>
      <c r="CH9" s="33"/>
      <c r="CI9" s="33"/>
      <c r="CJ9" s="33"/>
      <c r="CK9" s="33"/>
      <c r="CL9" s="33"/>
      <c r="CM9" s="33"/>
      <c r="CN9" s="33"/>
    </row>
    <row r="10" spans="1:92">
      <c r="A10" s="31"/>
      <c r="B10" s="42"/>
      <c r="C10" s="43"/>
      <c r="D10" s="43"/>
      <c r="E10" s="43"/>
      <c r="F10" s="44"/>
      <c r="G10" s="49"/>
      <c r="H10" s="405"/>
      <c r="I10" s="406"/>
      <c r="J10" s="406"/>
      <c r="K10" s="406"/>
      <c r="L10" s="406"/>
      <c r="M10" s="406"/>
      <c r="N10" s="406"/>
      <c r="O10" s="406"/>
      <c r="P10" s="406"/>
      <c r="Q10" s="406"/>
      <c r="R10" s="406"/>
      <c r="S10" s="406"/>
      <c r="T10" s="406"/>
      <c r="U10" s="406"/>
      <c r="V10" s="406"/>
      <c r="W10" s="406"/>
      <c r="X10" s="406"/>
      <c r="Y10" s="406"/>
      <c r="Z10" s="406"/>
      <c r="AA10" s="406"/>
      <c r="AB10" s="406"/>
      <c r="AC10" s="406"/>
      <c r="AD10" s="407"/>
      <c r="AE10" s="46"/>
      <c r="AF10" s="47"/>
      <c r="AG10" s="43"/>
      <c r="AH10" s="43"/>
      <c r="AI10" s="43"/>
      <c r="AJ10" s="48"/>
      <c r="BR10" s="33"/>
      <c r="BS10" s="33"/>
      <c r="BT10" s="33"/>
      <c r="BU10" s="33"/>
      <c r="BV10" s="33"/>
      <c r="BW10" s="33"/>
      <c r="BX10" s="33"/>
      <c r="BY10" s="33"/>
      <c r="BZ10" s="33"/>
      <c r="CA10" s="33"/>
      <c r="CB10" s="33"/>
      <c r="CC10" s="33"/>
      <c r="CD10" s="33"/>
      <c r="CE10" s="33"/>
      <c r="CF10" s="33"/>
      <c r="CG10" s="33"/>
      <c r="CH10" s="33"/>
      <c r="CI10" s="33"/>
      <c r="CJ10" s="33"/>
      <c r="CK10" s="33"/>
      <c r="CL10" s="33"/>
      <c r="CM10" s="33"/>
      <c r="CN10" s="33"/>
    </row>
    <row r="11" spans="1:92">
      <c r="A11" s="31"/>
      <c r="B11" s="42"/>
      <c r="C11" s="43"/>
      <c r="D11" s="43"/>
      <c r="E11" s="43"/>
      <c r="F11" s="44"/>
      <c r="G11" s="45"/>
      <c r="H11" s="405"/>
      <c r="I11" s="406"/>
      <c r="J11" s="406"/>
      <c r="K11" s="406"/>
      <c r="L11" s="406"/>
      <c r="M11" s="406"/>
      <c r="N11" s="406"/>
      <c r="O11" s="406"/>
      <c r="P11" s="406"/>
      <c r="Q11" s="406"/>
      <c r="R11" s="406"/>
      <c r="S11" s="406"/>
      <c r="T11" s="406"/>
      <c r="U11" s="406"/>
      <c r="V11" s="406"/>
      <c r="W11" s="406"/>
      <c r="X11" s="406"/>
      <c r="Y11" s="406"/>
      <c r="Z11" s="406"/>
      <c r="AA11" s="406"/>
      <c r="AB11" s="406"/>
      <c r="AC11" s="406"/>
      <c r="AD11" s="407"/>
      <c r="AE11" s="46"/>
      <c r="AF11" s="47"/>
      <c r="AG11" s="43"/>
      <c r="AH11" s="43"/>
      <c r="AI11" s="43"/>
      <c r="AJ11" s="48"/>
      <c r="BR11" s="33"/>
      <c r="BS11" s="33"/>
      <c r="BT11" s="33"/>
      <c r="BU11" s="33"/>
      <c r="BV11" s="33"/>
      <c r="BW11" s="33"/>
      <c r="BX11" s="33"/>
      <c r="BY11" s="33"/>
      <c r="BZ11" s="33"/>
      <c r="CA11" s="33"/>
      <c r="CB11" s="33"/>
      <c r="CC11" s="33"/>
      <c r="CD11" s="33"/>
      <c r="CE11" s="33"/>
      <c r="CF11" s="33"/>
      <c r="CG11" s="33"/>
      <c r="CH11" s="33"/>
      <c r="CI11" s="33"/>
      <c r="CJ11" s="33"/>
      <c r="CK11" s="33"/>
      <c r="CL11" s="33"/>
      <c r="CM11" s="33"/>
      <c r="CN11" s="33"/>
    </row>
    <row r="12" spans="1:92">
      <c r="A12" s="31"/>
      <c r="B12" s="42"/>
      <c r="C12" s="43"/>
      <c r="D12" s="43"/>
      <c r="E12" s="43"/>
      <c r="F12" s="44"/>
      <c r="G12" s="45"/>
      <c r="H12" s="408"/>
      <c r="I12" s="409"/>
      <c r="J12" s="409"/>
      <c r="K12" s="409"/>
      <c r="L12" s="409"/>
      <c r="M12" s="409"/>
      <c r="N12" s="409"/>
      <c r="O12" s="409"/>
      <c r="P12" s="409"/>
      <c r="Q12" s="409"/>
      <c r="R12" s="409"/>
      <c r="S12" s="409"/>
      <c r="T12" s="409"/>
      <c r="U12" s="409"/>
      <c r="V12" s="409"/>
      <c r="W12" s="409"/>
      <c r="X12" s="409"/>
      <c r="Y12" s="409"/>
      <c r="Z12" s="409"/>
      <c r="AA12" s="409"/>
      <c r="AB12" s="409"/>
      <c r="AC12" s="409"/>
      <c r="AD12" s="410"/>
      <c r="AE12" s="46"/>
      <c r="AF12" s="47"/>
      <c r="AG12" s="43"/>
      <c r="AH12" s="43"/>
      <c r="AI12" s="43"/>
      <c r="AJ12" s="48"/>
      <c r="BR12" s="33"/>
      <c r="BS12" s="33"/>
      <c r="BT12" s="33"/>
      <c r="BU12" s="33"/>
      <c r="BV12" s="33"/>
      <c r="BW12" s="33"/>
      <c r="BX12" s="33"/>
      <c r="BY12" s="33"/>
      <c r="BZ12" s="33"/>
      <c r="CA12" s="33"/>
      <c r="CB12" s="33"/>
      <c r="CC12" s="33"/>
      <c r="CD12" s="33"/>
      <c r="CE12" s="33"/>
      <c r="CF12" s="33"/>
      <c r="CG12" s="33"/>
      <c r="CH12" s="33"/>
      <c r="CI12" s="33"/>
      <c r="CJ12" s="33"/>
      <c r="CK12" s="33"/>
      <c r="CL12" s="33"/>
      <c r="CM12" s="33"/>
      <c r="CN12" s="33"/>
    </row>
    <row r="13" spans="1:92">
      <c r="A13" s="31"/>
      <c r="B13" s="42"/>
      <c r="C13" s="43"/>
      <c r="D13" s="43"/>
      <c r="E13" s="43"/>
      <c r="F13" s="44"/>
      <c r="G13" s="45"/>
      <c r="H13" s="43"/>
      <c r="I13" s="49"/>
      <c r="J13" s="49"/>
      <c r="K13" s="49"/>
      <c r="L13" s="49"/>
      <c r="M13" s="49"/>
      <c r="N13" s="49"/>
      <c r="O13" s="49"/>
      <c r="P13" s="49"/>
      <c r="Q13" s="49"/>
      <c r="R13" s="49"/>
      <c r="S13" s="49"/>
      <c r="T13" s="49"/>
      <c r="U13" s="49"/>
      <c r="V13" s="49"/>
      <c r="W13" s="49"/>
      <c r="X13" s="49"/>
      <c r="Y13" s="43"/>
      <c r="Z13" s="43"/>
      <c r="AA13" s="43"/>
      <c r="AB13" s="43"/>
      <c r="AC13" s="43"/>
      <c r="AD13" s="43"/>
      <c r="AE13" s="46"/>
      <c r="AF13" s="47"/>
      <c r="AG13" s="43"/>
      <c r="AH13" s="43"/>
      <c r="AI13" s="43"/>
      <c r="AJ13" s="48"/>
      <c r="BR13" s="33"/>
      <c r="BS13" s="33"/>
      <c r="BT13" s="33"/>
      <c r="BU13" s="33"/>
      <c r="BV13" s="33"/>
      <c r="BW13" s="33"/>
      <c r="BX13" s="33"/>
      <c r="BY13" s="33"/>
      <c r="BZ13" s="33"/>
      <c r="CA13" s="33"/>
      <c r="CB13" s="33"/>
      <c r="CC13" s="33"/>
      <c r="CD13" s="33"/>
      <c r="CE13" s="33"/>
      <c r="CF13" s="33"/>
      <c r="CG13" s="33"/>
      <c r="CH13" s="33"/>
      <c r="CI13" s="33"/>
      <c r="CJ13" s="33"/>
      <c r="CK13" s="33"/>
      <c r="CL13" s="33"/>
      <c r="CM13" s="33"/>
      <c r="CN13" s="33"/>
    </row>
    <row r="14" spans="1:92">
      <c r="A14" s="31"/>
      <c r="B14" s="42"/>
      <c r="C14" s="43"/>
      <c r="D14" s="43"/>
      <c r="E14" s="43"/>
      <c r="F14" s="44"/>
      <c r="G14" s="45"/>
      <c r="H14" s="399" t="s">
        <v>10</v>
      </c>
      <c r="I14" s="400"/>
      <c r="J14" s="400"/>
      <c r="K14" s="400"/>
      <c r="L14" s="400"/>
      <c r="M14" s="400"/>
      <c r="N14" s="400"/>
      <c r="O14" s="400"/>
      <c r="P14" s="400"/>
      <c r="Q14" s="400"/>
      <c r="R14" s="400"/>
      <c r="S14" s="400"/>
      <c r="T14" s="400"/>
      <c r="U14" s="400"/>
      <c r="V14" s="400"/>
      <c r="W14" s="400"/>
      <c r="X14" s="400"/>
      <c r="Y14" s="400"/>
      <c r="Z14" s="400"/>
      <c r="AA14" s="400"/>
      <c r="AB14" s="400"/>
      <c r="AC14" s="400"/>
      <c r="AD14" s="401"/>
      <c r="AE14" s="46"/>
      <c r="AF14" s="47"/>
      <c r="AG14" s="43"/>
      <c r="AH14" s="43"/>
      <c r="AI14" s="43"/>
      <c r="AJ14" s="48"/>
      <c r="BR14" s="33"/>
      <c r="BS14" s="33"/>
      <c r="BT14" s="33"/>
      <c r="BU14" s="33"/>
      <c r="BV14" s="33"/>
      <c r="BW14" s="33"/>
      <c r="BX14" s="33"/>
      <c r="BY14" s="33"/>
      <c r="BZ14" s="33"/>
      <c r="CA14" s="33"/>
      <c r="CB14" s="33"/>
      <c r="CC14" s="33"/>
      <c r="CD14" s="33"/>
      <c r="CE14" s="33"/>
      <c r="CF14" s="33"/>
      <c r="CG14" s="33"/>
      <c r="CH14" s="33"/>
      <c r="CI14" s="33"/>
      <c r="CJ14" s="33"/>
      <c r="CK14" s="33"/>
      <c r="CL14" s="33"/>
      <c r="CM14" s="33"/>
      <c r="CN14" s="33"/>
    </row>
    <row r="15" spans="1:92">
      <c r="A15" s="31"/>
      <c r="B15" s="42"/>
      <c r="C15" s="43"/>
      <c r="D15" s="43"/>
      <c r="E15" s="43"/>
      <c r="F15" s="44"/>
      <c r="G15" s="49"/>
      <c r="H15" s="402"/>
      <c r="I15" s="403"/>
      <c r="J15" s="403"/>
      <c r="K15" s="403"/>
      <c r="L15" s="403"/>
      <c r="M15" s="403"/>
      <c r="N15" s="403"/>
      <c r="O15" s="403"/>
      <c r="P15" s="403"/>
      <c r="Q15" s="403"/>
      <c r="R15" s="403"/>
      <c r="S15" s="403"/>
      <c r="T15" s="403"/>
      <c r="U15" s="403"/>
      <c r="V15" s="403"/>
      <c r="W15" s="403"/>
      <c r="X15" s="403"/>
      <c r="Y15" s="403"/>
      <c r="Z15" s="403"/>
      <c r="AA15" s="403"/>
      <c r="AB15" s="403"/>
      <c r="AC15" s="403"/>
      <c r="AD15" s="404"/>
      <c r="AE15" s="46"/>
      <c r="AF15" s="47"/>
      <c r="AG15" s="43"/>
      <c r="AH15" s="43"/>
      <c r="AI15" s="43"/>
      <c r="AJ15" s="48"/>
      <c r="BR15" s="33"/>
      <c r="BS15" s="33"/>
      <c r="BT15" s="33"/>
      <c r="BU15" s="33"/>
      <c r="BV15" s="33"/>
      <c r="BW15" s="33"/>
      <c r="BX15" s="33"/>
      <c r="BY15" s="33"/>
      <c r="BZ15" s="33"/>
      <c r="CA15" s="33"/>
      <c r="CB15" s="33"/>
      <c r="CC15" s="33"/>
      <c r="CD15" s="33"/>
      <c r="CE15" s="33"/>
      <c r="CF15" s="33"/>
      <c r="CG15" s="33"/>
      <c r="CH15" s="33"/>
      <c r="CI15" s="33"/>
      <c r="CJ15" s="33"/>
      <c r="CK15" s="33"/>
      <c r="CL15" s="33"/>
      <c r="CM15" s="33"/>
      <c r="CN15" s="33"/>
    </row>
    <row r="16" spans="1:92">
      <c r="A16" s="31"/>
      <c r="B16" s="42"/>
      <c r="C16" s="43"/>
      <c r="D16" s="43"/>
      <c r="E16" s="43"/>
      <c r="F16" s="44"/>
      <c r="G16" s="49"/>
      <c r="H16" s="408"/>
      <c r="I16" s="409"/>
      <c r="J16" s="409"/>
      <c r="K16" s="409"/>
      <c r="L16" s="409"/>
      <c r="M16" s="409"/>
      <c r="N16" s="409"/>
      <c r="O16" s="409"/>
      <c r="P16" s="409"/>
      <c r="Q16" s="409"/>
      <c r="R16" s="409"/>
      <c r="S16" s="409"/>
      <c r="T16" s="409"/>
      <c r="U16" s="409"/>
      <c r="V16" s="409"/>
      <c r="W16" s="409"/>
      <c r="X16" s="409"/>
      <c r="Y16" s="409"/>
      <c r="Z16" s="409"/>
      <c r="AA16" s="409"/>
      <c r="AB16" s="409"/>
      <c r="AC16" s="409"/>
      <c r="AD16" s="410"/>
      <c r="AE16" s="46"/>
      <c r="AF16" s="47"/>
      <c r="AG16" s="43"/>
      <c r="AH16" s="43"/>
      <c r="AI16" s="43"/>
      <c r="AJ16" s="48"/>
      <c r="BR16" s="33"/>
      <c r="BS16" s="33"/>
      <c r="BT16" s="33"/>
      <c r="BU16" s="33"/>
      <c r="BV16" s="33"/>
      <c r="BW16" s="33"/>
      <c r="BX16" s="33"/>
      <c r="BY16" s="33"/>
      <c r="BZ16" s="33"/>
      <c r="CA16" s="33"/>
      <c r="CB16" s="33"/>
      <c r="CC16" s="33"/>
      <c r="CD16" s="33"/>
      <c r="CE16" s="33"/>
      <c r="CF16" s="33"/>
      <c r="CG16" s="33"/>
      <c r="CH16" s="33"/>
      <c r="CI16" s="33"/>
      <c r="CJ16" s="33"/>
      <c r="CK16" s="33"/>
      <c r="CL16" s="33"/>
      <c r="CM16" s="33"/>
      <c r="CN16" s="33"/>
    </row>
    <row r="17" spans="1:92">
      <c r="A17" s="31"/>
      <c r="B17" s="42"/>
      <c r="C17" s="43"/>
      <c r="D17" s="43"/>
      <c r="E17" s="43"/>
      <c r="F17" s="44"/>
      <c r="G17" s="49"/>
      <c r="H17" s="43"/>
      <c r="I17" s="43"/>
      <c r="J17" s="43"/>
      <c r="K17" s="43"/>
      <c r="L17" s="43"/>
      <c r="M17" s="43"/>
      <c r="N17" s="43"/>
      <c r="O17" s="43"/>
      <c r="P17" s="43"/>
      <c r="Q17" s="43"/>
      <c r="R17" s="43"/>
      <c r="S17" s="43"/>
      <c r="T17" s="43"/>
      <c r="U17" s="43"/>
      <c r="V17" s="43"/>
      <c r="W17" s="43"/>
      <c r="X17" s="43"/>
      <c r="Y17" s="43"/>
      <c r="Z17" s="43"/>
      <c r="AA17" s="43"/>
      <c r="AB17" s="43"/>
      <c r="AC17" s="43"/>
      <c r="AD17" s="43"/>
      <c r="AE17" s="46"/>
      <c r="AF17" s="47"/>
      <c r="AG17" s="43"/>
      <c r="AH17" s="43"/>
      <c r="AI17" s="43"/>
      <c r="AJ17" s="48"/>
      <c r="BR17" s="33"/>
      <c r="BS17" s="33"/>
      <c r="BT17" s="33"/>
      <c r="BU17" s="33"/>
      <c r="BV17" s="33"/>
      <c r="BW17" s="33"/>
      <c r="BX17" s="33"/>
      <c r="BY17" s="33"/>
      <c r="BZ17" s="33"/>
      <c r="CA17" s="33"/>
      <c r="CB17" s="33"/>
      <c r="CC17" s="33"/>
      <c r="CD17" s="33"/>
      <c r="CE17" s="33"/>
      <c r="CF17" s="33"/>
      <c r="CG17" s="33"/>
      <c r="CH17" s="33"/>
      <c r="CI17" s="33"/>
      <c r="CJ17" s="33"/>
      <c r="CK17" s="33"/>
      <c r="CL17" s="33"/>
      <c r="CM17" s="33"/>
      <c r="CN17" s="33"/>
    </row>
    <row r="18" spans="1:92">
      <c r="A18" s="31"/>
      <c r="B18" s="42"/>
      <c r="C18" s="43"/>
      <c r="D18" s="43"/>
      <c r="E18" s="43"/>
      <c r="F18" s="44"/>
      <c r="G18" s="49"/>
      <c r="H18" s="411" t="s">
        <v>11</v>
      </c>
      <c r="I18" s="412"/>
      <c r="J18" s="412"/>
      <c r="K18" s="412"/>
      <c r="L18" s="412"/>
      <c r="M18" s="412"/>
      <c r="N18" s="412"/>
      <c r="O18" s="412"/>
      <c r="P18" s="412"/>
      <c r="Q18" s="412"/>
      <c r="R18" s="412"/>
      <c r="S18" s="412"/>
      <c r="T18" s="412"/>
      <c r="U18" s="412"/>
      <c r="V18" s="412"/>
      <c r="W18" s="412"/>
      <c r="X18" s="412"/>
      <c r="Y18" s="412"/>
      <c r="Z18" s="412"/>
      <c r="AA18" s="412"/>
      <c r="AB18" s="412"/>
      <c r="AC18" s="412"/>
      <c r="AD18" s="413"/>
      <c r="AE18" s="46"/>
      <c r="AF18" s="47"/>
      <c r="AG18" s="43"/>
      <c r="AH18" s="43"/>
      <c r="AI18" s="43"/>
      <c r="AJ18" s="48"/>
      <c r="BR18" s="33"/>
      <c r="BS18" s="33"/>
      <c r="BT18" s="33"/>
      <c r="BU18" s="33"/>
      <c r="BV18" s="33"/>
      <c r="BW18" s="33"/>
      <c r="BX18" s="33"/>
      <c r="BY18" s="33"/>
      <c r="BZ18" s="33"/>
      <c r="CA18" s="33"/>
      <c r="CB18" s="33"/>
      <c r="CC18" s="33"/>
      <c r="CD18" s="33"/>
      <c r="CE18" s="33"/>
      <c r="CF18" s="33"/>
      <c r="CG18" s="33"/>
      <c r="CH18" s="33"/>
      <c r="CI18" s="33"/>
      <c r="CJ18" s="33"/>
      <c r="CK18" s="33"/>
      <c r="CL18" s="33"/>
      <c r="CM18" s="33"/>
      <c r="CN18" s="33"/>
    </row>
    <row r="19" spans="1:92">
      <c r="A19" s="31"/>
      <c r="B19" s="42"/>
      <c r="C19" s="43"/>
      <c r="D19" s="43"/>
      <c r="E19" s="43"/>
      <c r="F19" s="44"/>
      <c r="G19" s="49"/>
      <c r="H19" s="43"/>
      <c r="I19" s="43"/>
      <c r="J19" s="43"/>
      <c r="K19" s="43"/>
      <c r="L19" s="43"/>
      <c r="M19" s="43"/>
      <c r="N19" s="43"/>
      <c r="O19" s="43"/>
      <c r="P19" s="43"/>
      <c r="Q19" s="43"/>
      <c r="R19" s="43"/>
      <c r="S19" s="43"/>
      <c r="T19" s="43"/>
      <c r="U19" s="43"/>
      <c r="V19" s="43"/>
      <c r="W19" s="43"/>
      <c r="X19" s="43"/>
      <c r="Y19" s="43"/>
      <c r="Z19" s="43"/>
      <c r="AA19" s="43"/>
      <c r="AB19" s="43"/>
      <c r="AC19" s="43"/>
      <c r="AD19" s="43"/>
      <c r="AE19" s="46"/>
      <c r="AF19" s="47"/>
      <c r="AG19" s="43"/>
      <c r="AH19" s="43"/>
      <c r="AI19" s="43"/>
      <c r="AJ19" s="48"/>
      <c r="BR19" s="33"/>
      <c r="BS19" s="33"/>
      <c r="BT19" s="33"/>
      <c r="BU19" s="33"/>
      <c r="BV19" s="33"/>
      <c r="BW19" s="33"/>
      <c r="BX19" s="33"/>
      <c r="BY19" s="33"/>
      <c r="BZ19" s="33"/>
      <c r="CA19" s="33"/>
      <c r="CB19" s="33"/>
      <c r="CC19" s="33"/>
      <c r="CD19" s="33"/>
      <c r="CE19" s="33"/>
      <c r="CF19" s="33"/>
      <c r="CG19" s="33"/>
      <c r="CH19" s="33"/>
      <c r="CI19" s="33"/>
      <c r="CJ19" s="33"/>
      <c r="CK19" s="33"/>
      <c r="CL19" s="33"/>
      <c r="CM19" s="33"/>
      <c r="CN19" s="33"/>
    </row>
    <row r="20" spans="1:92">
      <c r="A20" s="31"/>
      <c r="B20" s="42"/>
      <c r="C20" s="43"/>
      <c r="D20" s="43"/>
      <c r="E20" s="43"/>
      <c r="F20" s="44"/>
      <c r="G20" s="49"/>
      <c r="H20" s="399" t="s">
        <v>12</v>
      </c>
      <c r="I20" s="400"/>
      <c r="J20" s="400"/>
      <c r="K20" s="400"/>
      <c r="L20" s="400"/>
      <c r="M20" s="400"/>
      <c r="N20" s="400"/>
      <c r="O20" s="400"/>
      <c r="P20" s="400"/>
      <c r="Q20" s="400"/>
      <c r="R20" s="400"/>
      <c r="S20" s="400"/>
      <c r="T20" s="400"/>
      <c r="U20" s="400"/>
      <c r="V20" s="400"/>
      <c r="W20" s="400"/>
      <c r="X20" s="400"/>
      <c r="Y20" s="400"/>
      <c r="Z20" s="400"/>
      <c r="AA20" s="400"/>
      <c r="AB20" s="400"/>
      <c r="AC20" s="400"/>
      <c r="AD20" s="401"/>
      <c r="AE20" s="46"/>
      <c r="AF20" s="47"/>
      <c r="AG20" s="43"/>
      <c r="AH20" s="43"/>
      <c r="AI20" s="43"/>
      <c r="AJ20" s="48"/>
      <c r="BR20" s="33"/>
      <c r="BS20" s="33"/>
      <c r="BT20" s="33"/>
      <c r="BU20" s="33"/>
      <c r="BV20" s="33"/>
      <c r="BW20" s="33"/>
      <c r="BX20" s="33"/>
      <c r="BY20" s="33"/>
      <c r="BZ20" s="33"/>
      <c r="CA20" s="33"/>
      <c r="CB20" s="33"/>
      <c r="CC20" s="33"/>
      <c r="CD20" s="33"/>
      <c r="CE20" s="33"/>
      <c r="CF20" s="33"/>
      <c r="CG20" s="33"/>
      <c r="CH20" s="33"/>
      <c r="CI20" s="33"/>
      <c r="CJ20" s="33"/>
      <c r="CK20" s="33"/>
      <c r="CL20" s="33"/>
      <c r="CM20" s="33"/>
      <c r="CN20" s="33"/>
    </row>
    <row r="21" spans="1:92">
      <c r="A21" s="31"/>
      <c r="B21" s="42"/>
      <c r="C21" s="43"/>
      <c r="D21" s="43"/>
      <c r="E21" s="43"/>
      <c r="F21" s="44"/>
      <c r="G21" s="49"/>
      <c r="H21" s="414"/>
      <c r="I21" s="415"/>
      <c r="J21" s="415"/>
      <c r="K21" s="415"/>
      <c r="L21" s="415"/>
      <c r="M21" s="415"/>
      <c r="N21" s="415"/>
      <c r="O21" s="415"/>
      <c r="P21" s="415"/>
      <c r="Q21" s="415"/>
      <c r="R21" s="415"/>
      <c r="S21" s="415"/>
      <c r="T21" s="415"/>
      <c r="U21" s="415"/>
      <c r="V21" s="415"/>
      <c r="W21" s="415"/>
      <c r="X21" s="415"/>
      <c r="Y21" s="415"/>
      <c r="Z21" s="415"/>
      <c r="AA21" s="415"/>
      <c r="AB21" s="415"/>
      <c r="AC21" s="415"/>
      <c r="AD21" s="416"/>
      <c r="AE21" s="46"/>
      <c r="AF21" s="47"/>
      <c r="AG21" s="43"/>
      <c r="AH21" s="43"/>
      <c r="AI21" s="43"/>
      <c r="AJ21" s="48"/>
      <c r="BR21" s="33"/>
      <c r="BS21" s="33"/>
      <c r="BT21" s="33"/>
      <c r="BU21" s="33"/>
      <c r="BV21" s="33"/>
      <c r="BW21" s="33"/>
      <c r="BX21" s="33"/>
      <c r="BY21" s="33"/>
      <c r="BZ21" s="33"/>
      <c r="CA21" s="33"/>
      <c r="CB21" s="33"/>
      <c r="CC21" s="33"/>
      <c r="CD21" s="33"/>
      <c r="CE21" s="33"/>
      <c r="CF21" s="33"/>
      <c r="CG21" s="33"/>
      <c r="CH21" s="33"/>
      <c r="CI21" s="33"/>
      <c r="CJ21" s="33"/>
      <c r="CK21" s="33"/>
      <c r="CL21" s="33"/>
      <c r="CM21" s="33"/>
      <c r="CN21" s="33"/>
    </row>
    <row r="22" spans="1:92">
      <c r="A22" s="31"/>
      <c r="B22" s="42"/>
      <c r="C22" s="43"/>
      <c r="D22" s="43"/>
      <c r="E22" s="43"/>
      <c r="F22" s="44"/>
      <c r="G22" s="49"/>
      <c r="H22" s="43"/>
      <c r="I22" s="43"/>
      <c r="J22" s="43"/>
      <c r="K22" s="43"/>
      <c r="L22" s="43"/>
      <c r="M22" s="43"/>
      <c r="N22" s="43"/>
      <c r="O22" s="43"/>
      <c r="P22" s="43"/>
      <c r="Q22" s="43"/>
      <c r="R22" s="43"/>
      <c r="S22" s="43"/>
      <c r="T22" s="43"/>
      <c r="U22" s="43"/>
      <c r="V22" s="43"/>
      <c r="W22" s="43"/>
      <c r="X22" s="43"/>
      <c r="Y22" s="43"/>
      <c r="Z22" s="43"/>
      <c r="AA22" s="43"/>
      <c r="AB22" s="43"/>
      <c r="AC22" s="43"/>
      <c r="AD22" s="43"/>
      <c r="AE22" s="46"/>
      <c r="AF22" s="47"/>
      <c r="AG22" s="43"/>
      <c r="AH22" s="43"/>
      <c r="AI22" s="43"/>
      <c r="AJ22" s="48"/>
      <c r="BR22" s="33"/>
      <c r="BS22" s="33"/>
      <c r="BT22" s="33"/>
      <c r="BU22" s="33"/>
      <c r="BV22" s="33"/>
      <c r="BW22" s="33"/>
      <c r="BX22" s="33"/>
      <c r="BY22" s="33"/>
      <c r="BZ22" s="33"/>
      <c r="CA22" s="33"/>
      <c r="CB22" s="33"/>
      <c r="CC22" s="33"/>
      <c r="CD22" s="33"/>
      <c r="CE22" s="33"/>
      <c r="CF22" s="33"/>
      <c r="CG22" s="33"/>
      <c r="CH22" s="33"/>
      <c r="CI22" s="33"/>
      <c r="CJ22" s="33"/>
      <c r="CK22" s="33"/>
      <c r="CL22" s="33"/>
      <c r="CM22" s="33"/>
      <c r="CN22" s="33"/>
    </row>
    <row r="23" spans="1:92">
      <c r="A23" s="31"/>
      <c r="B23" s="42"/>
      <c r="C23" s="43"/>
      <c r="D23" s="43"/>
      <c r="E23" s="43"/>
      <c r="F23" s="44"/>
      <c r="G23" s="49"/>
      <c r="H23" s="411" t="s">
        <v>13</v>
      </c>
      <c r="I23" s="412"/>
      <c r="J23" s="412"/>
      <c r="K23" s="412"/>
      <c r="L23" s="412"/>
      <c r="M23" s="413"/>
      <c r="N23" s="43"/>
      <c r="O23" s="43"/>
      <c r="P23" s="43"/>
      <c r="Q23" s="43"/>
      <c r="R23" s="43"/>
      <c r="S23" s="43"/>
      <c r="T23" s="43"/>
      <c r="U23" s="43"/>
      <c r="V23" s="43"/>
      <c r="W23" s="43"/>
      <c r="X23" s="43"/>
      <c r="Y23" s="43"/>
      <c r="Z23" s="43"/>
      <c r="AA23" s="43"/>
      <c r="AB23" s="43"/>
      <c r="AC23" s="43"/>
      <c r="AD23" s="43"/>
      <c r="AE23" s="46"/>
      <c r="AF23" s="47"/>
      <c r="AG23" s="43"/>
      <c r="AH23" s="43"/>
      <c r="AI23" s="43"/>
      <c r="AJ23" s="48"/>
      <c r="BR23" s="33"/>
      <c r="BS23" s="33"/>
      <c r="BT23" s="33"/>
      <c r="BU23" s="33"/>
      <c r="BV23" s="33"/>
      <c r="BW23" s="33"/>
      <c r="BX23" s="33"/>
      <c r="BY23" s="33"/>
      <c r="BZ23" s="33"/>
      <c r="CA23" s="33"/>
      <c r="CB23" s="33"/>
      <c r="CC23" s="33"/>
      <c r="CD23" s="33"/>
      <c r="CE23" s="33"/>
      <c r="CF23" s="33"/>
      <c r="CG23" s="33"/>
      <c r="CH23" s="33"/>
      <c r="CI23" s="33"/>
      <c r="CJ23" s="33"/>
      <c r="CK23" s="33"/>
      <c r="CL23" s="33"/>
      <c r="CM23" s="33"/>
      <c r="CN23" s="33"/>
    </row>
    <row r="24" spans="1:92">
      <c r="A24" s="31"/>
      <c r="B24" s="42"/>
      <c r="C24" s="43"/>
      <c r="D24" s="43"/>
      <c r="E24" s="43"/>
      <c r="F24" s="44"/>
      <c r="G24" s="49"/>
      <c r="H24" s="417" t="s">
        <v>237</v>
      </c>
      <c r="I24" s="417"/>
      <c r="J24" s="417"/>
      <c r="K24" s="417"/>
      <c r="L24" s="417"/>
      <c r="M24" s="417"/>
      <c r="N24" s="417"/>
      <c r="O24" s="417"/>
      <c r="P24" s="417"/>
      <c r="Q24" s="417"/>
      <c r="R24" s="417"/>
      <c r="S24" s="417"/>
      <c r="T24" s="417"/>
      <c r="U24" s="417"/>
      <c r="V24" s="417"/>
      <c r="W24" s="417"/>
      <c r="X24" s="417"/>
      <c r="Y24" s="417"/>
      <c r="Z24" s="417"/>
      <c r="AA24" s="417"/>
      <c r="AB24" s="417"/>
      <c r="AC24" s="417"/>
      <c r="AD24" s="417"/>
      <c r="AE24" s="46"/>
      <c r="AF24" s="47"/>
      <c r="AG24" s="43"/>
      <c r="AH24" s="43"/>
      <c r="AI24" s="43"/>
      <c r="AJ24" s="48"/>
      <c r="BR24" s="33"/>
      <c r="BS24" s="33"/>
      <c r="BT24" s="33"/>
      <c r="BU24" s="33"/>
      <c r="BV24" s="33"/>
      <c r="BW24" s="33"/>
      <c r="BX24" s="33"/>
      <c r="BY24" s="33"/>
      <c r="BZ24" s="33"/>
      <c r="CA24" s="33"/>
      <c r="CB24" s="33"/>
      <c r="CC24" s="33"/>
      <c r="CD24" s="33"/>
      <c r="CE24" s="33"/>
      <c r="CF24" s="33"/>
      <c r="CG24" s="33"/>
      <c r="CH24" s="33"/>
      <c r="CI24" s="33"/>
      <c r="CJ24" s="33"/>
      <c r="CK24" s="33"/>
      <c r="CL24" s="33"/>
      <c r="CM24" s="33"/>
      <c r="CN24" s="33"/>
    </row>
    <row r="25" spans="1:92">
      <c r="A25" s="31"/>
      <c r="B25" s="42"/>
      <c r="C25" s="43"/>
      <c r="D25" s="43"/>
      <c r="E25" s="43"/>
      <c r="F25" s="44"/>
      <c r="G25" s="49"/>
      <c r="H25" s="43"/>
      <c r="I25" s="43"/>
      <c r="J25" s="43"/>
      <c r="K25" s="43"/>
      <c r="L25" s="43"/>
      <c r="M25" s="43"/>
      <c r="N25" s="43"/>
      <c r="O25" s="43"/>
      <c r="P25" s="43"/>
      <c r="Q25" s="43"/>
      <c r="R25" s="43"/>
      <c r="S25" s="43"/>
      <c r="T25" s="43"/>
      <c r="U25" s="43"/>
      <c r="V25" s="43"/>
      <c r="W25" s="43"/>
      <c r="X25" s="43"/>
      <c r="Y25" s="43"/>
      <c r="Z25" s="43"/>
      <c r="AA25" s="43"/>
      <c r="AB25" s="43"/>
      <c r="AC25" s="43"/>
      <c r="AD25" s="43"/>
      <c r="AE25" s="46"/>
      <c r="AF25" s="47"/>
      <c r="AG25" s="43"/>
      <c r="AH25" s="43"/>
      <c r="AI25" s="43"/>
      <c r="AJ25" s="48"/>
      <c r="BR25" s="33"/>
      <c r="BS25" s="33"/>
      <c r="BT25" s="33"/>
      <c r="BU25" s="33"/>
      <c r="BV25" s="33"/>
      <c r="BW25" s="33"/>
      <c r="BX25" s="33"/>
      <c r="BY25" s="33"/>
      <c r="BZ25" s="33"/>
      <c r="CA25" s="33"/>
      <c r="CB25" s="33"/>
      <c r="CC25" s="33"/>
      <c r="CD25" s="33"/>
      <c r="CE25" s="33"/>
      <c r="CF25" s="33"/>
      <c r="CG25" s="33"/>
      <c r="CH25" s="33"/>
      <c r="CI25" s="33"/>
      <c r="CJ25" s="33"/>
      <c r="CK25" s="33"/>
      <c r="CL25" s="33"/>
      <c r="CM25" s="33"/>
      <c r="CN25" s="33"/>
    </row>
    <row r="26" spans="1:92">
      <c r="A26" s="31"/>
      <c r="B26" s="42"/>
      <c r="C26" s="43"/>
      <c r="D26" s="43"/>
      <c r="E26" s="43"/>
      <c r="F26" s="44"/>
      <c r="G26" s="49"/>
      <c r="H26" s="399" t="s">
        <v>14</v>
      </c>
      <c r="I26" s="400"/>
      <c r="J26" s="400"/>
      <c r="K26" s="400"/>
      <c r="L26" s="400"/>
      <c r="M26" s="400"/>
      <c r="N26" s="400"/>
      <c r="O26" s="400"/>
      <c r="P26" s="400"/>
      <c r="Q26" s="400"/>
      <c r="R26" s="400"/>
      <c r="S26" s="400"/>
      <c r="T26" s="400"/>
      <c r="U26" s="400"/>
      <c r="V26" s="400"/>
      <c r="W26" s="400"/>
      <c r="X26" s="400"/>
      <c r="Y26" s="400"/>
      <c r="Z26" s="400"/>
      <c r="AA26" s="400"/>
      <c r="AB26" s="400"/>
      <c r="AC26" s="400"/>
      <c r="AD26" s="401"/>
      <c r="AE26" s="46"/>
      <c r="AF26" s="47"/>
      <c r="AG26" s="43"/>
      <c r="AH26" s="43"/>
      <c r="AI26" s="43"/>
      <c r="AJ26" s="48"/>
      <c r="BR26" s="33"/>
      <c r="BS26" s="33"/>
      <c r="BT26" s="33"/>
      <c r="BU26" s="33"/>
      <c r="BV26" s="33"/>
      <c r="BW26" s="33"/>
      <c r="BX26" s="33"/>
      <c r="BY26" s="33"/>
      <c r="BZ26" s="33"/>
      <c r="CA26" s="33"/>
      <c r="CB26" s="33"/>
      <c r="CC26" s="33"/>
      <c r="CD26" s="33"/>
      <c r="CE26" s="33"/>
      <c r="CF26" s="33"/>
      <c r="CG26" s="33"/>
      <c r="CH26" s="33"/>
      <c r="CI26" s="33"/>
      <c r="CJ26" s="33"/>
      <c r="CK26" s="33"/>
      <c r="CL26" s="33"/>
      <c r="CM26" s="33"/>
      <c r="CN26" s="33"/>
    </row>
    <row r="27" spans="1:92">
      <c r="A27" s="31"/>
      <c r="B27" s="42"/>
      <c r="C27" s="43"/>
      <c r="D27" s="43"/>
      <c r="E27" s="43"/>
      <c r="F27" s="44"/>
      <c r="G27" s="49"/>
      <c r="H27" s="408"/>
      <c r="I27" s="409"/>
      <c r="J27" s="409"/>
      <c r="K27" s="409"/>
      <c r="L27" s="409"/>
      <c r="M27" s="409"/>
      <c r="N27" s="409"/>
      <c r="O27" s="409"/>
      <c r="P27" s="409"/>
      <c r="Q27" s="409"/>
      <c r="R27" s="409"/>
      <c r="S27" s="409"/>
      <c r="T27" s="409"/>
      <c r="U27" s="409"/>
      <c r="V27" s="409"/>
      <c r="W27" s="409"/>
      <c r="X27" s="409"/>
      <c r="Y27" s="409"/>
      <c r="Z27" s="409"/>
      <c r="AA27" s="409"/>
      <c r="AB27" s="409"/>
      <c r="AC27" s="409"/>
      <c r="AD27" s="410"/>
      <c r="AE27" s="46"/>
      <c r="AF27" s="47"/>
      <c r="AG27" s="43"/>
      <c r="AH27" s="43"/>
      <c r="AI27" s="43"/>
      <c r="AJ27" s="48"/>
      <c r="BR27" s="33"/>
      <c r="BS27" s="33"/>
      <c r="BT27" s="33"/>
      <c r="BU27" s="33"/>
      <c r="BV27" s="33"/>
      <c r="BW27" s="33"/>
      <c r="BX27" s="33"/>
      <c r="BY27" s="33"/>
      <c r="BZ27" s="33"/>
      <c r="CA27" s="33"/>
      <c r="CB27" s="33"/>
      <c r="CC27" s="33"/>
      <c r="CD27" s="33"/>
      <c r="CE27" s="33"/>
      <c r="CF27" s="33"/>
      <c r="CG27" s="33"/>
      <c r="CH27" s="33"/>
      <c r="CI27" s="33"/>
      <c r="CJ27" s="33"/>
      <c r="CK27" s="33"/>
      <c r="CL27" s="33"/>
      <c r="CM27" s="33"/>
      <c r="CN27" s="33"/>
    </row>
    <row r="28" spans="1:92">
      <c r="A28" s="31"/>
      <c r="B28" s="42"/>
      <c r="C28" s="43"/>
      <c r="D28" s="43"/>
      <c r="E28" s="43"/>
      <c r="F28" s="44"/>
      <c r="G28" s="49"/>
      <c r="H28" s="43"/>
      <c r="I28" s="43"/>
      <c r="J28" s="43"/>
      <c r="K28" s="43"/>
      <c r="L28" s="43"/>
      <c r="M28" s="43"/>
      <c r="N28" s="43"/>
      <c r="O28" s="43"/>
      <c r="P28" s="43"/>
      <c r="Q28" s="43"/>
      <c r="R28" s="43"/>
      <c r="S28" s="43"/>
      <c r="T28" s="43"/>
      <c r="U28" s="43"/>
      <c r="V28" s="43"/>
      <c r="W28" s="43"/>
      <c r="X28" s="43"/>
      <c r="Y28" s="43"/>
      <c r="Z28" s="43"/>
      <c r="AA28" s="43"/>
      <c r="AB28" s="43"/>
      <c r="AC28" s="43"/>
      <c r="AD28" s="43"/>
      <c r="AE28" s="46"/>
      <c r="AF28" s="47"/>
      <c r="AG28" s="43"/>
      <c r="AH28" s="43"/>
      <c r="AI28" s="43"/>
      <c r="AJ28" s="48"/>
      <c r="BR28" s="33"/>
      <c r="BS28" s="33"/>
      <c r="BT28" s="33"/>
      <c r="BU28" s="33"/>
      <c r="BV28" s="33"/>
      <c r="BW28" s="33"/>
      <c r="BX28" s="33"/>
      <c r="BY28" s="33"/>
      <c r="BZ28" s="33"/>
      <c r="CA28" s="33"/>
      <c r="CB28" s="33"/>
      <c r="CC28" s="33"/>
      <c r="CD28" s="33"/>
      <c r="CE28" s="33"/>
      <c r="CF28" s="33"/>
      <c r="CG28" s="33"/>
      <c r="CH28" s="33"/>
      <c r="CI28" s="33"/>
      <c r="CJ28" s="33"/>
      <c r="CK28" s="33"/>
      <c r="CL28" s="33"/>
      <c r="CM28" s="33"/>
      <c r="CN28" s="33"/>
    </row>
    <row r="29" spans="1:92">
      <c r="A29" s="31"/>
      <c r="B29" s="42"/>
      <c r="C29" s="43"/>
      <c r="D29" s="43"/>
      <c r="E29" s="43"/>
      <c r="F29" s="44"/>
      <c r="G29" s="49"/>
      <c r="H29" s="411" t="s">
        <v>15</v>
      </c>
      <c r="I29" s="412"/>
      <c r="J29" s="412"/>
      <c r="K29" s="412"/>
      <c r="L29" s="412"/>
      <c r="M29" s="412"/>
      <c r="N29" s="412"/>
      <c r="O29" s="412"/>
      <c r="P29" s="412"/>
      <c r="Q29" s="412"/>
      <c r="R29" s="412"/>
      <c r="S29" s="412"/>
      <c r="T29" s="412"/>
      <c r="U29" s="412"/>
      <c r="V29" s="412"/>
      <c r="W29" s="412"/>
      <c r="X29" s="413"/>
      <c r="Y29" s="43"/>
      <c r="Z29" s="43"/>
      <c r="AA29" s="43"/>
      <c r="AB29" s="43"/>
      <c r="AC29" s="43"/>
      <c r="AD29" s="43"/>
      <c r="AE29" s="46"/>
      <c r="AF29" s="47"/>
      <c r="AG29" s="43"/>
      <c r="AH29" s="43"/>
      <c r="AI29" s="43"/>
      <c r="AJ29" s="48"/>
      <c r="BR29" s="33"/>
      <c r="BS29" s="33"/>
      <c r="BT29" s="33"/>
      <c r="BU29" s="33"/>
      <c r="BV29" s="33"/>
      <c r="BW29" s="33"/>
      <c r="BX29" s="33"/>
      <c r="BY29" s="33"/>
      <c r="BZ29" s="33"/>
      <c r="CA29" s="33"/>
      <c r="CB29" s="33"/>
      <c r="CC29" s="33"/>
      <c r="CD29" s="33"/>
      <c r="CE29" s="33"/>
      <c r="CF29" s="33"/>
      <c r="CG29" s="33"/>
      <c r="CH29" s="33"/>
      <c r="CI29" s="33"/>
      <c r="CJ29" s="33"/>
      <c r="CK29" s="33"/>
      <c r="CL29" s="33"/>
      <c r="CM29" s="33"/>
      <c r="CN29" s="33"/>
    </row>
    <row r="30" spans="1:92">
      <c r="A30" s="31"/>
      <c r="B30" s="42"/>
      <c r="C30" s="43"/>
      <c r="D30" s="43"/>
      <c r="E30" s="43"/>
      <c r="F30" s="44"/>
      <c r="G30" s="49"/>
      <c r="H30" s="1" t="s">
        <v>16</v>
      </c>
      <c r="I30" s="43"/>
      <c r="J30" s="43"/>
      <c r="K30" s="43"/>
      <c r="L30" s="43"/>
      <c r="M30" s="43"/>
      <c r="N30" s="43"/>
      <c r="O30" s="43"/>
      <c r="P30" s="43"/>
      <c r="Q30" s="43"/>
      <c r="R30" s="43"/>
      <c r="S30" s="43"/>
      <c r="T30" s="43"/>
      <c r="U30" s="43"/>
      <c r="V30" s="43"/>
      <c r="W30" s="43"/>
      <c r="X30" s="43"/>
      <c r="Y30" s="43"/>
      <c r="Z30" s="43"/>
      <c r="AA30" s="43"/>
      <c r="AB30" s="43"/>
      <c r="AC30" s="43"/>
      <c r="AD30" s="43"/>
      <c r="AE30" s="46"/>
      <c r="AF30" s="47"/>
      <c r="AG30" s="43"/>
      <c r="AH30" s="43"/>
      <c r="AI30" s="43"/>
      <c r="AJ30" s="48"/>
      <c r="BR30" s="33"/>
      <c r="BS30" s="33"/>
      <c r="BT30" s="33"/>
      <c r="BU30" s="33"/>
      <c r="BV30" s="33"/>
      <c r="BW30" s="33"/>
      <c r="BX30" s="33"/>
      <c r="BY30" s="33"/>
      <c r="BZ30" s="33"/>
      <c r="CA30" s="33"/>
      <c r="CB30" s="33"/>
      <c r="CC30" s="33"/>
      <c r="CD30" s="33"/>
      <c r="CE30" s="33"/>
      <c r="CF30" s="33"/>
      <c r="CG30" s="33"/>
      <c r="CH30" s="33"/>
      <c r="CI30" s="33"/>
      <c r="CJ30" s="33"/>
      <c r="CK30" s="33"/>
      <c r="CL30" s="33"/>
      <c r="CM30" s="33"/>
      <c r="CN30" s="33"/>
    </row>
    <row r="31" spans="1:92">
      <c r="A31" s="31"/>
      <c r="B31" s="42"/>
      <c r="C31" s="43"/>
      <c r="D31" s="43"/>
      <c r="E31" s="43"/>
      <c r="F31" s="44"/>
      <c r="G31" s="49"/>
      <c r="H31" s="43"/>
      <c r="I31" s="43"/>
      <c r="J31" s="43"/>
      <c r="K31" s="43"/>
      <c r="L31" s="43"/>
      <c r="M31" s="43"/>
      <c r="N31" s="43"/>
      <c r="O31" s="43"/>
      <c r="P31" s="43"/>
      <c r="Q31" s="43"/>
      <c r="R31" s="43"/>
      <c r="S31" s="43"/>
      <c r="T31" s="43"/>
      <c r="U31" s="43"/>
      <c r="V31" s="43"/>
      <c r="W31" s="43"/>
      <c r="X31" s="43"/>
      <c r="Y31" s="43"/>
      <c r="Z31" s="43"/>
      <c r="AA31" s="43"/>
      <c r="AB31" s="43"/>
      <c r="AC31" s="43"/>
      <c r="AD31" s="43"/>
      <c r="AE31" s="46"/>
      <c r="AF31" s="47"/>
      <c r="AG31" s="43"/>
      <c r="AH31" s="43"/>
      <c r="AI31" s="43"/>
      <c r="AJ31" s="48"/>
      <c r="BR31" s="33"/>
      <c r="BS31" s="33"/>
      <c r="BT31" s="33"/>
      <c r="BU31" s="33"/>
      <c r="BV31" s="33"/>
      <c r="BW31" s="33"/>
      <c r="BX31" s="33"/>
      <c r="BY31" s="33"/>
      <c r="BZ31" s="33"/>
      <c r="CA31" s="33"/>
      <c r="CB31" s="33"/>
      <c r="CC31" s="33"/>
      <c r="CD31" s="33"/>
      <c r="CE31" s="33"/>
      <c r="CF31" s="33"/>
      <c r="CG31" s="33"/>
      <c r="CH31" s="33"/>
      <c r="CI31" s="33"/>
      <c r="CJ31" s="33"/>
      <c r="CK31" s="33"/>
      <c r="CL31" s="33"/>
      <c r="CM31" s="33"/>
      <c r="CN31" s="33"/>
    </row>
    <row r="32" spans="1:92">
      <c r="A32" s="31"/>
      <c r="B32" s="42"/>
      <c r="C32" s="43"/>
      <c r="D32" s="43"/>
      <c r="E32" s="43"/>
      <c r="F32" s="44"/>
      <c r="G32" s="49"/>
      <c r="H32" s="43" t="s">
        <v>17</v>
      </c>
      <c r="I32" s="43"/>
      <c r="J32" s="43"/>
      <c r="K32" s="43"/>
      <c r="L32" s="43"/>
      <c r="M32" s="43"/>
      <c r="N32" s="43"/>
      <c r="O32" s="43"/>
      <c r="P32" s="43"/>
      <c r="Q32" s="43"/>
      <c r="R32" s="43"/>
      <c r="S32" s="43"/>
      <c r="T32" s="43"/>
      <c r="U32" s="43"/>
      <c r="V32" s="43"/>
      <c r="W32" s="43"/>
      <c r="X32" s="43"/>
      <c r="Y32" s="43"/>
      <c r="Z32" s="43"/>
      <c r="AA32" s="43"/>
      <c r="AB32" s="43"/>
      <c r="AC32" s="43"/>
      <c r="AD32" s="43"/>
      <c r="AE32" s="46"/>
      <c r="AF32" s="47"/>
      <c r="AG32" s="43"/>
      <c r="AH32" s="43"/>
      <c r="AI32" s="43"/>
      <c r="AJ32" s="48"/>
      <c r="BR32" s="33"/>
      <c r="BS32" s="33"/>
      <c r="BT32" s="33"/>
      <c r="BU32" s="33"/>
      <c r="BV32" s="33"/>
      <c r="BW32" s="33"/>
      <c r="BX32" s="33"/>
      <c r="BY32" s="33"/>
      <c r="BZ32" s="33"/>
      <c r="CA32" s="33"/>
      <c r="CB32" s="33"/>
      <c r="CC32" s="33"/>
      <c r="CD32" s="33"/>
      <c r="CE32" s="33"/>
      <c r="CF32" s="33"/>
      <c r="CG32" s="33"/>
      <c r="CH32" s="33"/>
      <c r="CI32" s="33"/>
      <c r="CJ32" s="33"/>
      <c r="CK32" s="33"/>
      <c r="CL32" s="33"/>
      <c r="CM32" s="33"/>
      <c r="CN32" s="33"/>
    </row>
    <row r="33" spans="1:92" ht="15" thickBot="1">
      <c r="A33" s="31"/>
      <c r="B33" s="42"/>
      <c r="C33" s="43"/>
      <c r="D33" s="43"/>
      <c r="E33" s="43"/>
      <c r="F33" s="44"/>
      <c r="G33" s="49"/>
      <c r="H33" s="50"/>
      <c r="I33" s="50"/>
      <c r="J33" s="50"/>
      <c r="K33" s="50"/>
      <c r="L33" s="50"/>
      <c r="M33" s="50"/>
      <c r="N33" s="50"/>
      <c r="O33" s="50"/>
      <c r="P33" s="50"/>
      <c r="Q33" s="50"/>
      <c r="R33" s="50"/>
      <c r="S33" s="50"/>
      <c r="T33" s="50"/>
      <c r="U33" s="50"/>
      <c r="V33" s="50"/>
      <c r="W33" s="50"/>
      <c r="X33" s="50"/>
      <c r="Y33" s="50"/>
      <c r="Z33" s="50"/>
      <c r="AA33" s="50"/>
      <c r="AB33" s="50"/>
      <c r="AC33" s="50"/>
      <c r="AD33" s="50"/>
      <c r="AE33" s="46"/>
      <c r="AF33" s="47"/>
      <c r="AG33" s="43"/>
      <c r="AH33" s="43"/>
      <c r="AI33" s="43"/>
      <c r="AJ33" s="48"/>
      <c r="BR33" s="33"/>
      <c r="BS33" s="33"/>
      <c r="BT33" s="33"/>
      <c r="BU33" s="33"/>
      <c r="BV33" s="33"/>
      <c r="BW33" s="33"/>
      <c r="BX33" s="33"/>
      <c r="BY33" s="33"/>
      <c r="BZ33" s="33"/>
      <c r="CA33" s="33"/>
      <c r="CB33" s="33"/>
      <c r="CC33" s="33"/>
      <c r="CD33" s="33"/>
      <c r="CE33" s="33"/>
      <c r="CF33" s="33"/>
      <c r="CG33" s="33"/>
      <c r="CH33" s="33"/>
      <c r="CI33" s="33"/>
      <c r="CJ33" s="33"/>
      <c r="CK33" s="33"/>
      <c r="CL33" s="33"/>
      <c r="CM33" s="33"/>
      <c r="CN33" s="33"/>
    </row>
    <row r="34" spans="1:92" ht="15" thickBot="1">
      <c r="A34" s="31"/>
      <c r="B34" s="42"/>
      <c r="C34" s="43"/>
      <c r="D34" s="43"/>
      <c r="E34" s="43"/>
      <c r="F34" s="44"/>
      <c r="G34" s="45"/>
      <c r="H34" s="418" t="s">
        <v>18</v>
      </c>
      <c r="I34" s="419"/>
      <c r="J34" s="420" t="s">
        <v>19</v>
      </c>
      <c r="K34" s="421"/>
      <c r="L34" s="421"/>
      <c r="M34" s="421"/>
      <c r="N34" s="421"/>
      <c r="O34" s="421"/>
      <c r="P34" s="421"/>
      <c r="Q34" s="421"/>
      <c r="R34" s="421"/>
      <c r="S34" s="421"/>
      <c r="T34" s="421"/>
      <c r="U34" s="421"/>
      <c r="V34" s="421"/>
      <c r="W34" s="421"/>
      <c r="X34" s="421"/>
      <c r="Y34" s="422"/>
      <c r="Z34" s="423" t="s">
        <v>20</v>
      </c>
      <c r="AA34" s="424"/>
      <c r="AB34" s="424"/>
      <c r="AC34" s="424"/>
      <c r="AD34" s="425"/>
      <c r="AE34" s="45"/>
      <c r="AF34" s="47"/>
      <c r="AG34" s="43"/>
      <c r="AH34" s="43"/>
      <c r="AI34" s="43"/>
      <c r="AJ34" s="48"/>
      <c r="BR34" s="33"/>
      <c r="BS34" s="33"/>
      <c r="BT34" s="33"/>
      <c r="BU34" s="33"/>
      <c r="BV34" s="33"/>
      <c r="BW34" s="33"/>
      <c r="BX34" s="33"/>
      <c r="BY34" s="33"/>
      <c r="BZ34" s="33"/>
      <c r="CA34" s="33"/>
      <c r="CB34" s="33"/>
      <c r="CC34" s="33"/>
      <c r="CD34" s="33"/>
      <c r="CE34" s="33"/>
      <c r="CF34" s="33"/>
      <c r="CG34" s="33"/>
      <c r="CH34" s="33"/>
      <c r="CI34" s="33"/>
      <c r="CJ34" s="33"/>
      <c r="CK34" s="33"/>
      <c r="CL34" s="33"/>
      <c r="CM34" s="33"/>
      <c r="CN34" s="33"/>
    </row>
    <row r="35" spans="1:92">
      <c r="A35" s="31"/>
      <c r="B35" s="42"/>
      <c r="C35" s="43"/>
      <c r="D35" s="43"/>
      <c r="E35" s="43"/>
      <c r="F35" s="44"/>
      <c r="G35" s="45"/>
      <c r="H35" s="391">
        <v>0</v>
      </c>
      <c r="I35" s="392"/>
      <c r="J35" s="393" t="s">
        <v>21</v>
      </c>
      <c r="K35" s="394"/>
      <c r="L35" s="394"/>
      <c r="M35" s="394"/>
      <c r="N35" s="394"/>
      <c r="O35" s="394"/>
      <c r="P35" s="394"/>
      <c r="Q35" s="394"/>
      <c r="R35" s="394"/>
      <c r="S35" s="394"/>
      <c r="T35" s="394"/>
      <c r="U35" s="394"/>
      <c r="V35" s="394"/>
      <c r="W35" s="394"/>
      <c r="X35" s="394"/>
      <c r="Y35" s="395"/>
      <c r="Z35" s="396">
        <v>46023</v>
      </c>
      <c r="AA35" s="397"/>
      <c r="AB35" s="397"/>
      <c r="AC35" s="397"/>
      <c r="AD35" s="398"/>
      <c r="AE35" s="45"/>
      <c r="AF35" s="47"/>
      <c r="AG35" s="43"/>
      <c r="AH35" s="43"/>
      <c r="AI35" s="43"/>
      <c r="AJ35" s="48"/>
      <c r="BR35" s="33"/>
      <c r="BS35" s="33"/>
      <c r="BT35" s="33"/>
      <c r="BU35" s="33"/>
      <c r="BV35" s="33"/>
      <c r="BW35" s="33"/>
      <c r="BX35" s="33"/>
      <c r="BY35" s="33"/>
      <c r="BZ35" s="33"/>
      <c r="CA35" s="33"/>
      <c r="CB35" s="33"/>
      <c r="CC35" s="33"/>
      <c r="CD35" s="33"/>
      <c r="CE35" s="33"/>
      <c r="CF35" s="33"/>
      <c r="CG35" s="33"/>
      <c r="CH35" s="33"/>
      <c r="CI35" s="33"/>
      <c r="CJ35" s="33"/>
      <c r="CK35" s="33"/>
      <c r="CL35" s="33"/>
      <c r="CM35" s="33"/>
      <c r="CN35" s="33"/>
    </row>
    <row r="36" spans="1:92">
      <c r="A36" s="31"/>
      <c r="B36" s="42"/>
      <c r="C36" s="43"/>
      <c r="D36" s="43"/>
      <c r="E36" s="43"/>
      <c r="F36" s="44"/>
      <c r="G36" s="45"/>
      <c r="H36" s="384"/>
      <c r="I36" s="385"/>
      <c r="J36" s="384"/>
      <c r="K36" s="386"/>
      <c r="L36" s="386"/>
      <c r="M36" s="386"/>
      <c r="N36" s="386"/>
      <c r="O36" s="386"/>
      <c r="P36" s="386"/>
      <c r="Q36" s="386"/>
      <c r="R36" s="386"/>
      <c r="S36" s="386"/>
      <c r="T36" s="386"/>
      <c r="U36" s="386"/>
      <c r="V36" s="386"/>
      <c r="W36" s="386"/>
      <c r="X36" s="386"/>
      <c r="Y36" s="385"/>
      <c r="Z36" s="387"/>
      <c r="AA36" s="386"/>
      <c r="AB36" s="386"/>
      <c r="AC36" s="386"/>
      <c r="AD36" s="385"/>
      <c r="AE36" s="45"/>
      <c r="AF36" s="47"/>
      <c r="AG36" s="43"/>
      <c r="AH36" s="43"/>
      <c r="AI36" s="43"/>
      <c r="AJ36" s="48"/>
      <c r="BR36" s="33"/>
      <c r="BS36" s="33"/>
      <c r="BT36" s="33"/>
      <c r="BU36" s="33"/>
      <c r="BV36" s="33"/>
      <c r="BW36" s="33"/>
      <c r="BX36" s="33"/>
      <c r="BY36" s="33"/>
      <c r="BZ36" s="33"/>
      <c r="CA36" s="33"/>
      <c r="CB36" s="33"/>
      <c r="CC36" s="33"/>
      <c r="CD36" s="33"/>
      <c r="CE36" s="33"/>
      <c r="CF36" s="33"/>
      <c r="CG36" s="33"/>
      <c r="CH36" s="33"/>
      <c r="CI36" s="33"/>
      <c r="CJ36" s="33"/>
      <c r="CK36" s="33"/>
      <c r="CL36" s="33"/>
      <c r="CM36" s="33"/>
      <c r="CN36" s="33"/>
    </row>
    <row r="37" spans="1:92">
      <c r="A37" s="31"/>
      <c r="B37" s="42"/>
      <c r="C37" s="43"/>
      <c r="D37" s="43"/>
      <c r="E37" s="43"/>
      <c r="F37" s="44"/>
      <c r="G37" s="45"/>
      <c r="H37" s="384"/>
      <c r="I37" s="385"/>
      <c r="J37" s="384"/>
      <c r="K37" s="386"/>
      <c r="L37" s="386"/>
      <c r="M37" s="386"/>
      <c r="N37" s="386"/>
      <c r="O37" s="386"/>
      <c r="P37" s="386"/>
      <c r="Q37" s="386"/>
      <c r="R37" s="386"/>
      <c r="S37" s="386"/>
      <c r="T37" s="386"/>
      <c r="U37" s="386"/>
      <c r="V37" s="386"/>
      <c r="W37" s="386"/>
      <c r="X37" s="386"/>
      <c r="Y37" s="385"/>
      <c r="Z37" s="387"/>
      <c r="AA37" s="386"/>
      <c r="AB37" s="386"/>
      <c r="AC37" s="386"/>
      <c r="AD37" s="385"/>
      <c r="AE37" s="45"/>
      <c r="AF37" s="47"/>
      <c r="AG37" s="43"/>
      <c r="AH37" s="43"/>
      <c r="AI37" s="43"/>
      <c r="AJ37" s="48"/>
      <c r="BR37" s="33"/>
      <c r="BS37" s="33"/>
      <c r="BT37" s="33"/>
      <c r="BU37" s="33"/>
      <c r="BV37" s="33"/>
      <c r="BW37" s="33"/>
      <c r="BX37" s="33"/>
      <c r="BY37" s="33"/>
      <c r="BZ37" s="33"/>
      <c r="CA37" s="33"/>
      <c r="CB37" s="33"/>
      <c r="CC37" s="33"/>
      <c r="CD37" s="33"/>
      <c r="CE37" s="33"/>
      <c r="CF37" s="33"/>
      <c r="CG37" s="33"/>
      <c r="CH37" s="33"/>
      <c r="CI37" s="33"/>
      <c r="CJ37" s="33"/>
      <c r="CK37" s="33"/>
      <c r="CL37" s="33"/>
      <c r="CM37" s="33"/>
      <c r="CN37" s="33"/>
    </row>
    <row r="38" spans="1:92">
      <c r="A38" s="31"/>
      <c r="B38" s="42"/>
      <c r="C38" s="43"/>
      <c r="D38" s="43"/>
      <c r="E38" s="43"/>
      <c r="F38" s="44"/>
      <c r="G38" s="45"/>
      <c r="H38" s="384"/>
      <c r="I38" s="385"/>
      <c r="J38" s="384"/>
      <c r="K38" s="386"/>
      <c r="L38" s="386"/>
      <c r="M38" s="386"/>
      <c r="N38" s="386"/>
      <c r="O38" s="386"/>
      <c r="P38" s="386"/>
      <c r="Q38" s="386"/>
      <c r="R38" s="386"/>
      <c r="S38" s="386"/>
      <c r="T38" s="386"/>
      <c r="U38" s="386"/>
      <c r="V38" s="386"/>
      <c r="W38" s="386"/>
      <c r="X38" s="386"/>
      <c r="Y38" s="385"/>
      <c r="Z38" s="387"/>
      <c r="AA38" s="386"/>
      <c r="AB38" s="386"/>
      <c r="AC38" s="386"/>
      <c r="AD38" s="385"/>
      <c r="AE38" s="45"/>
      <c r="AF38" s="47"/>
      <c r="AG38" s="43"/>
      <c r="AH38" s="43"/>
      <c r="AI38" s="43"/>
      <c r="AJ38" s="48"/>
      <c r="BR38" s="33"/>
      <c r="BS38" s="33"/>
      <c r="BT38" s="33"/>
      <c r="BU38" s="33"/>
      <c r="BV38" s="33"/>
      <c r="BW38" s="33"/>
      <c r="BX38" s="33"/>
      <c r="BY38" s="33"/>
      <c r="BZ38" s="33"/>
      <c r="CA38" s="33"/>
      <c r="CB38" s="33"/>
      <c r="CC38" s="33"/>
      <c r="CD38" s="33"/>
      <c r="CE38" s="33"/>
      <c r="CF38" s="33"/>
      <c r="CG38" s="33"/>
      <c r="CH38" s="33"/>
      <c r="CI38" s="33"/>
      <c r="CJ38" s="33"/>
      <c r="CK38" s="33"/>
      <c r="CL38" s="33"/>
      <c r="CM38" s="33"/>
      <c r="CN38" s="33"/>
    </row>
    <row r="39" spans="1:92">
      <c r="A39" s="31"/>
      <c r="B39" s="42"/>
      <c r="C39" s="43"/>
      <c r="D39" s="43"/>
      <c r="E39" s="43"/>
      <c r="F39" s="44"/>
      <c r="G39" s="45"/>
      <c r="H39" s="384"/>
      <c r="I39" s="385"/>
      <c r="J39" s="384"/>
      <c r="K39" s="386"/>
      <c r="L39" s="386"/>
      <c r="M39" s="386"/>
      <c r="N39" s="386"/>
      <c r="O39" s="386"/>
      <c r="P39" s="386"/>
      <c r="Q39" s="386"/>
      <c r="R39" s="386"/>
      <c r="S39" s="386"/>
      <c r="T39" s="386"/>
      <c r="U39" s="386"/>
      <c r="V39" s="386"/>
      <c r="W39" s="386"/>
      <c r="X39" s="386"/>
      <c r="Y39" s="385"/>
      <c r="Z39" s="387"/>
      <c r="AA39" s="386"/>
      <c r="AB39" s="386"/>
      <c r="AC39" s="386"/>
      <c r="AD39" s="385"/>
      <c r="AE39" s="45"/>
      <c r="AF39" s="47"/>
      <c r="AG39" s="43"/>
      <c r="AH39" s="43"/>
      <c r="AI39" s="43"/>
      <c r="AJ39" s="48"/>
      <c r="BR39" s="33"/>
      <c r="BS39" s="33"/>
      <c r="BT39" s="33"/>
      <c r="BU39" s="33"/>
      <c r="BV39" s="33"/>
      <c r="BW39" s="33"/>
      <c r="BX39" s="33"/>
      <c r="BY39" s="33"/>
      <c r="BZ39" s="33"/>
      <c r="CA39" s="33"/>
      <c r="CB39" s="33"/>
      <c r="CC39" s="33"/>
      <c r="CD39" s="33"/>
      <c r="CE39" s="33"/>
      <c r="CF39" s="33"/>
      <c r="CG39" s="33"/>
      <c r="CH39" s="33"/>
      <c r="CI39" s="33"/>
      <c r="CJ39" s="33"/>
      <c r="CK39" s="33"/>
      <c r="CL39" s="33"/>
      <c r="CM39" s="33"/>
      <c r="CN39" s="33"/>
    </row>
    <row r="40" spans="1:92" ht="15" thickBot="1">
      <c r="A40" s="31"/>
      <c r="B40" s="42"/>
      <c r="C40" s="43"/>
      <c r="D40" s="43"/>
      <c r="E40" s="43"/>
      <c r="F40" s="44"/>
      <c r="G40" s="45"/>
      <c r="H40" s="380"/>
      <c r="I40" s="381"/>
      <c r="J40" s="380"/>
      <c r="K40" s="382"/>
      <c r="L40" s="382"/>
      <c r="M40" s="382"/>
      <c r="N40" s="382"/>
      <c r="O40" s="382"/>
      <c r="P40" s="382"/>
      <c r="Q40" s="382"/>
      <c r="R40" s="382"/>
      <c r="S40" s="382"/>
      <c r="T40" s="382"/>
      <c r="U40" s="382"/>
      <c r="V40" s="382"/>
      <c r="W40" s="382"/>
      <c r="X40" s="382"/>
      <c r="Y40" s="381"/>
      <c r="Z40" s="383"/>
      <c r="AA40" s="382"/>
      <c r="AB40" s="382"/>
      <c r="AC40" s="382"/>
      <c r="AD40" s="381"/>
      <c r="AE40" s="45"/>
      <c r="AF40" s="47"/>
      <c r="AG40" s="43"/>
      <c r="AH40" s="43"/>
      <c r="AI40" s="43"/>
      <c r="AJ40" s="48"/>
      <c r="BR40" s="33"/>
      <c r="BS40" s="33"/>
      <c r="BT40" s="33"/>
      <c r="BU40" s="33"/>
      <c r="BV40" s="33"/>
      <c r="BW40" s="33"/>
      <c r="BX40" s="33"/>
      <c r="BY40" s="33"/>
      <c r="BZ40" s="33"/>
      <c r="CA40" s="33"/>
      <c r="CB40" s="33"/>
      <c r="CC40" s="33"/>
      <c r="CD40" s="33"/>
      <c r="CE40" s="33"/>
      <c r="CF40" s="33"/>
      <c r="CG40" s="33"/>
      <c r="CH40" s="33"/>
      <c r="CI40" s="33"/>
      <c r="CJ40" s="33"/>
      <c r="CK40" s="33"/>
      <c r="CL40" s="33"/>
      <c r="CM40" s="33"/>
      <c r="CN40" s="33"/>
    </row>
    <row r="41" spans="1:92">
      <c r="A41" s="31"/>
      <c r="B41" s="42"/>
      <c r="C41" s="43"/>
      <c r="D41" s="43"/>
      <c r="E41" s="43"/>
      <c r="F41" s="44"/>
      <c r="G41" s="49"/>
      <c r="H41" s="35"/>
      <c r="I41" s="35"/>
      <c r="J41" s="35"/>
      <c r="K41" s="35"/>
      <c r="L41" s="35"/>
      <c r="M41" s="35"/>
      <c r="N41" s="35"/>
      <c r="O41" s="35"/>
      <c r="P41" s="35"/>
      <c r="Q41" s="35"/>
      <c r="R41" s="35"/>
      <c r="S41" s="35"/>
      <c r="T41" s="35"/>
      <c r="U41" s="35"/>
      <c r="V41" s="35"/>
      <c r="W41" s="35"/>
      <c r="X41" s="35"/>
      <c r="Y41" s="35"/>
      <c r="Z41" s="35"/>
      <c r="AA41" s="35"/>
      <c r="AB41" s="35"/>
      <c r="AC41" s="35"/>
      <c r="AD41" s="35"/>
      <c r="AE41" s="46"/>
      <c r="AF41" s="47"/>
      <c r="AG41" s="43"/>
      <c r="AH41" s="43"/>
      <c r="AI41" s="43"/>
      <c r="AJ41" s="48"/>
      <c r="BR41" s="33"/>
      <c r="BS41" s="33"/>
      <c r="BT41" s="33"/>
      <c r="BU41" s="33"/>
      <c r="BV41" s="33"/>
      <c r="BW41" s="33"/>
      <c r="BX41" s="33"/>
      <c r="BY41" s="33"/>
      <c r="BZ41" s="33"/>
      <c r="CA41" s="33"/>
      <c r="CB41" s="33"/>
      <c r="CC41" s="33"/>
      <c r="CD41" s="33"/>
      <c r="CE41" s="33"/>
      <c r="CF41" s="33"/>
      <c r="CG41" s="33"/>
      <c r="CH41" s="33"/>
      <c r="CI41" s="33"/>
      <c r="CJ41" s="33"/>
      <c r="CK41" s="33"/>
      <c r="CL41" s="33"/>
      <c r="CM41" s="33"/>
      <c r="CN41" s="33"/>
    </row>
    <row r="42" spans="1:92">
      <c r="A42" s="31"/>
      <c r="B42" s="42"/>
      <c r="C42" s="43"/>
      <c r="D42" s="43"/>
      <c r="E42" s="43"/>
      <c r="F42" s="44"/>
      <c r="G42" s="49"/>
      <c r="H42" s="43"/>
      <c r="I42" s="43"/>
      <c r="J42" s="43"/>
      <c r="K42" s="43"/>
      <c r="L42" s="43"/>
      <c r="M42" s="43"/>
      <c r="N42" s="43"/>
      <c r="O42" s="43"/>
      <c r="P42" s="43"/>
      <c r="Q42" s="43"/>
      <c r="R42" s="43"/>
      <c r="S42" s="43"/>
      <c r="T42" s="43"/>
      <c r="U42" s="43"/>
      <c r="V42" s="43"/>
      <c r="W42" s="43"/>
      <c r="X42" s="43"/>
      <c r="Y42" s="43"/>
      <c r="Z42" s="43"/>
      <c r="AA42" s="43"/>
      <c r="AB42" s="43"/>
      <c r="AC42" s="43"/>
      <c r="AD42" s="43"/>
      <c r="AE42" s="46"/>
      <c r="AF42" s="47"/>
      <c r="AG42" s="43"/>
      <c r="AH42" s="43"/>
      <c r="AI42" s="43"/>
      <c r="AJ42" s="48"/>
      <c r="BR42" s="33"/>
      <c r="BS42" s="33"/>
      <c r="BT42" s="33"/>
      <c r="BU42" s="33"/>
      <c r="BV42" s="33"/>
      <c r="BW42" s="33"/>
      <c r="BX42" s="33"/>
      <c r="BY42" s="33"/>
      <c r="BZ42" s="33"/>
      <c r="CA42" s="33"/>
      <c r="CB42" s="33"/>
      <c r="CC42" s="33"/>
      <c r="CD42" s="33"/>
      <c r="CE42" s="33"/>
      <c r="CF42" s="33"/>
      <c r="CG42" s="33"/>
      <c r="CH42" s="33"/>
      <c r="CI42" s="33"/>
      <c r="CJ42" s="33"/>
      <c r="CK42" s="33"/>
      <c r="CL42" s="33"/>
      <c r="CM42" s="33"/>
      <c r="CN42" s="33"/>
    </row>
    <row r="43" spans="1:92">
      <c r="A43" s="31"/>
      <c r="B43" s="42"/>
      <c r="C43" s="43"/>
      <c r="D43" s="43"/>
      <c r="E43" s="43"/>
      <c r="F43" s="44"/>
      <c r="G43" s="49"/>
      <c r="H43" s="43"/>
      <c r="I43" s="43"/>
      <c r="J43" s="43"/>
      <c r="K43" s="43"/>
      <c r="L43" s="43"/>
      <c r="M43" s="43"/>
      <c r="N43" s="43"/>
      <c r="O43" s="43"/>
      <c r="P43" s="43"/>
      <c r="Q43" s="43"/>
      <c r="R43" s="43"/>
      <c r="S43" s="43"/>
      <c r="T43" s="43"/>
      <c r="U43" s="43"/>
      <c r="V43" s="43"/>
      <c r="W43" s="43"/>
      <c r="X43" s="43"/>
      <c r="Y43" s="43"/>
      <c r="Z43" s="43"/>
      <c r="AA43" s="43"/>
      <c r="AB43" s="43"/>
      <c r="AC43" s="43"/>
      <c r="AD43" s="43"/>
      <c r="AE43" s="46"/>
      <c r="AF43" s="47"/>
      <c r="AG43" s="43"/>
      <c r="AH43" s="43"/>
      <c r="AI43" s="43"/>
      <c r="AJ43" s="48"/>
      <c r="BR43" s="33"/>
      <c r="BS43" s="33"/>
      <c r="BT43" s="33"/>
      <c r="BU43" s="33"/>
      <c r="BV43" s="33"/>
      <c r="BW43" s="33"/>
      <c r="BX43" s="33"/>
      <c r="BY43" s="33"/>
      <c r="BZ43" s="33"/>
      <c r="CA43" s="33"/>
      <c r="CB43" s="33"/>
      <c r="CC43" s="33"/>
      <c r="CD43" s="33"/>
      <c r="CE43" s="33"/>
      <c r="CF43" s="33"/>
      <c r="CG43" s="33"/>
      <c r="CH43" s="33"/>
      <c r="CI43" s="33"/>
      <c r="CJ43" s="33"/>
      <c r="CK43" s="33"/>
      <c r="CL43" s="33"/>
      <c r="CM43" s="33"/>
      <c r="CN43" s="33"/>
    </row>
    <row r="44" spans="1:92">
      <c r="A44" s="31"/>
      <c r="B44" s="42"/>
      <c r="C44" s="43"/>
      <c r="D44" s="43"/>
      <c r="E44" s="43"/>
      <c r="F44" s="44"/>
      <c r="G44" s="49"/>
      <c r="H44" s="43"/>
      <c r="I44" s="43"/>
      <c r="J44" s="43"/>
      <c r="K44" s="43"/>
      <c r="L44" s="43"/>
      <c r="M44" s="43"/>
      <c r="N44" s="43"/>
      <c r="O44" s="43"/>
      <c r="P44" s="43"/>
      <c r="Q44" s="43"/>
      <c r="R44" s="43"/>
      <c r="S44" s="43"/>
      <c r="T44" s="43"/>
      <c r="U44" s="43"/>
      <c r="V44" s="43"/>
      <c r="W44" s="43"/>
      <c r="X44" s="43"/>
      <c r="Y44" s="43"/>
      <c r="Z44" s="43"/>
      <c r="AA44" s="43"/>
      <c r="AB44" s="43"/>
      <c r="AC44" s="43"/>
      <c r="AD44" s="43"/>
      <c r="AE44" s="46"/>
      <c r="AF44" s="47"/>
      <c r="AG44" s="43"/>
      <c r="AH44" s="43"/>
      <c r="AI44" s="43"/>
      <c r="AJ44" s="48"/>
      <c r="BR44" s="33"/>
      <c r="BS44" s="33"/>
      <c r="BT44" s="33"/>
      <c r="BU44" s="33"/>
      <c r="BV44" s="33"/>
      <c r="BW44" s="33"/>
      <c r="BX44" s="33"/>
      <c r="BY44" s="33"/>
      <c r="BZ44" s="33"/>
      <c r="CA44" s="33"/>
      <c r="CB44" s="33"/>
      <c r="CC44" s="33"/>
      <c r="CD44" s="33"/>
      <c r="CE44" s="33"/>
      <c r="CF44" s="33"/>
      <c r="CG44" s="33"/>
      <c r="CH44" s="33"/>
      <c r="CI44" s="33"/>
      <c r="CJ44" s="33"/>
      <c r="CK44" s="33"/>
      <c r="CL44" s="33"/>
      <c r="CM44" s="33"/>
      <c r="CN44" s="33"/>
    </row>
    <row r="45" spans="1:92">
      <c r="A45" s="31"/>
      <c r="B45" s="42"/>
      <c r="C45" s="43"/>
      <c r="D45" s="43"/>
      <c r="E45" s="43"/>
      <c r="F45" s="44"/>
      <c r="G45" s="49"/>
      <c r="H45" s="43"/>
      <c r="I45" s="43"/>
      <c r="J45" s="43"/>
      <c r="K45" s="43"/>
      <c r="L45" s="43"/>
      <c r="M45" s="43"/>
      <c r="N45" s="43"/>
      <c r="O45" s="43"/>
      <c r="P45" s="43"/>
      <c r="Q45" s="43"/>
      <c r="R45" s="43"/>
      <c r="S45" s="43"/>
      <c r="T45" s="43"/>
      <c r="U45" s="43"/>
      <c r="V45" s="43"/>
      <c r="W45" s="43"/>
      <c r="X45" s="43"/>
      <c r="Y45" s="43"/>
      <c r="Z45" s="43"/>
      <c r="AA45" s="43"/>
      <c r="AB45" s="43"/>
      <c r="AC45" s="43"/>
      <c r="AD45" s="43"/>
      <c r="AE45" s="46"/>
      <c r="AF45" s="47"/>
      <c r="AG45" s="43"/>
      <c r="AH45" s="43"/>
      <c r="AI45" s="43"/>
      <c r="AJ45" s="48"/>
      <c r="BR45" s="33"/>
      <c r="BS45" s="33"/>
      <c r="BT45" s="33"/>
      <c r="BU45" s="33"/>
      <c r="BV45" s="33"/>
      <c r="BW45" s="33"/>
      <c r="BX45" s="33"/>
      <c r="BY45" s="33"/>
      <c r="BZ45" s="33"/>
      <c r="CA45" s="33"/>
      <c r="CB45" s="33"/>
      <c r="CC45" s="33"/>
      <c r="CD45" s="33"/>
      <c r="CE45" s="33"/>
      <c r="CF45" s="33"/>
      <c r="CG45" s="33"/>
      <c r="CH45" s="33"/>
      <c r="CI45" s="33"/>
      <c r="CJ45" s="33"/>
      <c r="CK45" s="33"/>
      <c r="CL45" s="33"/>
      <c r="CM45" s="33"/>
      <c r="CN45" s="33"/>
    </row>
    <row r="46" spans="1:92">
      <c r="A46" s="31"/>
      <c r="B46" s="42"/>
      <c r="C46" s="43"/>
      <c r="D46" s="43"/>
      <c r="E46" s="43"/>
      <c r="F46" s="44"/>
      <c r="G46" s="49"/>
      <c r="H46" s="43"/>
      <c r="I46" s="43"/>
      <c r="J46" s="43"/>
      <c r="K46" s="43"/>
      <c r="L46" s="43"/>
      <c r="M46" s="43"/>
      <c r="N46" s="43"/>
      <c r="O46" s="43"/>
      <c r="P46" s="43"/>
      <c r="Q46" s="43"/>
      <c r="R46" s="43"/>
      <c r="S46" s="43"/>
      <c r="T46" s="43"/>
      <c r="U46" s="43"/>
      <c r="V46" s="43"/>
      <c r="W46" s="43"/>
      <c r="X46" s="43"/>
      <c r="Y46" s="43"/>
      <c r="Z46" s="43"/>
      <c r="AA46" s="43"/>
      <c r="AB46" s="43"/>
      <c r="AC46" s="43"/>
      <c r="AD46" s="43"/>
      <c r="AE46" s="46"/>
      <c r="AF46" s="47"/>
      <c r="AG46" s="43"/>
      <c r="AH46" s="43"/>
      <c r="AI46" s="43"/>
      <c r="AJ46" s="48"/>
      <c r="BR46" s="33"/>
      <c r="BS46" s="33"/>
      <c r="BT46" s="33"/>
      <c r="BU46" s="33"/>
      <c r="BV46" s="33"/>
      <c r="BW46" s="33"/>
      <c r="BX46" s="33"/>
      <c r="BY46" s="33"/>
      <c r="BZ46" s="33"/>
      <c r="CA46" s="33"/>
      <c r="CB46" s="33"/>
      <c r="CC46" s="33"/>
      <c r="CD46" s="33"/>
      <c r="CE46" s="33"/>
      <c r="CF46" s="33"/>
      <c r="CG46" s="33"/>
      <c r="CH46" s="33"/>
      <c r="CI46" s="33"/>
      <c r="CJ46" s="33"/>
      <c r="CK46" s="33"/>
      <c r="CL46" s="33"/>
      <c r="CM46" s="33"/>
      <c r="CN46" s="33"/>
    </row>
    <row r="47" spans="1:92">
      <c r="A47" s="31"/>
      <c r="B47" s="42"/>
      <c r="C47" s="43"/>
      <c r="D47" s="43"/>
      <c r="E47" s="43"/>
      <c r="F47" s="44"/>
      <c r="G47" s="49"/>
      <c r="H47" s="43"/>
      <c r="I47" s="43"/>
      <c r="J47" s="43"/>
      <c r="K47" s="43"/>
      <c r="L47" s="43"/>
      <c r="M47" s="43"/>
      <c r="N47" s="43"/>
      <c r="O47" s="43"/>
      <c r="P47" s="43"/>
      <c r="Q47" s="43"/>
      <c r="R47" s="43"/>
      <c r="S47" s="43"/>
      <c r="T47" s="43"/>
      <c r="U47" s="43"/>
      <c r="V47" s="43"/>
      <c r="W47" s="43"/>
      <c r="X47" s="43"/>
      <c r="Y47" s="43"/>
      <c r="Z47" s="43"/>
      <c r="AA47" s="43"/>
      <c r="AB47" s="43"/>
      <c r="AC47" s="43"/>
      <c r="AD47" s="43"/>
      <c r="AE47" s="46"/>
      <c r="AF47" s="47"/>
      <c r="AG47" s="43"/>
      <c r="AH47" s="43"/>
      <c r="AI47" s="43"/>
      <c r="AJ47" s="48"/>
      <c r="BR47" s="33"/>
      <c r="BS47" s="33"/>
      <c r="BT47" s="33"/>
      <c r="BU47" s="33"/>
      <c r="BV47" s="33"/>
      <c r="BW47" s="33"/>
      <c r="BX47" s="33"/>
      <c r="BY47" s="33"/>
      <c r="BZ47" s="33"/>
      <c r="CA47" s="33"/>
      <c r="CB47" s="33"/>
      <c r="CC47" s="33"/>
      <c r="CD47" s="33"/>
      <c r="CE47" s="33"/>
      <c r="CF47" s="33"/>
      <c r="CG47" s="33"/>
      <c r="CH47" s="33"/>
      <c r="CI47" s="33"/>
      <c r="CJ47" s="33"/>
      <c r="CK47" s="33"/>
      <c r="CL47" s="33"/>
      <c r="CM47" s="33"/>
      <c r="CN47" s="33"/>
    </row>
    <row r="48" spans="1:92">
      <c r="A48" s="31"/>
      <c r="B48" s="42"/>
      <c r="C48" s="43"/>
      <c r="D48" s="43"/>
      <c r="E48" s="43"/>
      <c r="F48" s="44"/>
      <c r="G48" s="49"/>
      <c r="H48" s="43"/>
      <c r="I48" s="43"/>
      <c r="J48" s="43"/>
      <c r="K48" s="43"/>
      <c r="L48" s="43"/>
      <c r="M48" s="43"/>
      <c r="N48" s="43"/>
      <c r="O48" s="43"/>
      <c r="P48" s="43"/>
      <c r="Q48" s="43"/>
      <c r="R48" s="43"/>
      <c r="S48" s="43"/>
      <c r="T48" s="43"/>
      <c r="U48" s="43"/>
      <c r="V48" s="43"/>
      <c r="W48" s="43"/>
      <c r="X48" s="43"/>
      <c r="Y48" s="43"/>
      <c r="Z48" s="43"/>
      <c r="AA48" s="43"/>
      <c r="AB48" s="43"/>
      <c r="AC48" s="43"/>
      <c r="AD48" s="43"/>
      <c r="AE48" s="46"/>
      <c r="AF48" s="47"/>
      <c r="AG48" s="43"/>
      <c r="AH48" s="43"/>
      <c r="AI48" s="43"/>
      <c r="AJ48" s="48"/>
      <c r="BR48" s="33"/>
      <c r="BS48" s="33"/>
      <c r="BT48" s="33"/>
      <c r="BU48" s="33"/>
      <c r="BV48" s="33"/>
      <c r="BW48" s="33"/>
      <c r="BX48" s="33"/>
      <c r="BY48" s="33"/>
      <c r="BZ48" s="33"/>
      <c r="CA48" s="33"/>
      <c r="CB48" s="33"/>
      <c r="CC48" s="33"/>
      <c r="CD48" s="33"/>
      <c r="CE48" s="33"/>
      <c r="CF48" s="33"/>
      <c r="CG48" s="33"/>
      <c r="CH48" s="33"/>
      <c r="CI48" s="33"/>
      <c r="CJ48" s="33"/>
      <c r="CK48" s="33"/>
      <c r="CL48" s="33"/>
      <c r="CM48" s="33"/>
      <c r="CN48" s="33"/>
    </row>
    <row r="49" spans="1:256">
      <c r="A49" s="31"/>
      <c r="B49" s="42"/>
      <c r="C49" s="43"/>
      <c r="D49" s="43"/>
      <c r="E49" s="43"/>
      <c r="F49" s="44"/>
      <c r="G49" s="49"/>
      <c r="H49" s="43"/>
      <c r="I49" s="43"/>
      <c r="J49" s="43"/>
      <c r="K49" s="43"/>
      <c r="L49" s="43"/>
      <c r="M49" s="43"/>
      <c r="N49" s="43"/>
      <c r="O49" s="43"/>
      <c r="P49" s="43"/>
      <c r="Q49" s="43"/>
      <c r="R49" s="43"/>
      <c r="S49" s="43"/>
      <c r="T49" s="43"/>
      <c r="U49" s="43"/>
      <c r="V49" s="43"/>
      <c r="W49" s="43"/>
      <c r="X49" s="43"/>
      <c r="Y49" s="43"/>
      <c r="Z49" s="43"/>
      <c r="AA49" s="43"/>
      <c r="AB49" s="43"/>
      <c r="AC49" s="43"/>
      <c r="AD49" s="43"/>
      <c r="AE49" s="46"/>
      <c r="AF49" s="47"/>
      <c r="AG49" s="43"/>
      <c r="AH49" s="43"/>
      <c r="AI49" s="43"/>
      <c r="AJ49" s="48"/>
      <c r="BR49" s="33"/>
      <c r="BS49" s="33"/>
      <c r="BT49" s="33"/>
      <c r="BU49" s="33"/>
      <c r="BV49" s="33"/>
      <c r="BW49" s="33"/>
      <c r="BX49" s="33"/>
      <c r="BY49" s="33"/>
      <c r="BZ49" s="33"/>
      <c r="CA49" s="33"/>
      <c r="CB49" s="33"/>
      <c r="CC49" s="33"/>
      <c r="CD49" s="33"/>
      <c r="CE49" s="33"/>
      <c r="CF49" s="33"/>
      <c r="CG49" s="33"/>
      <c r="CH49" s="33"/>
      <c r="CI49" s="33"/>
      <c r="CJ49" s="33"/>
      <c r="CK49" s="33"/>
      <c r="CL49" s="33"/>
      <c r="CM49" s="33"/>
      <c r="CN49" s="33"/>
    </row>
    <row r="50" spans="1:256">
      <c r="A50" s="31"/>
      <c r="B50" s="42"/>
      <c r="C50" s="43"/>
      <c r="D50" s="43"/>
      <c r="E50" s="43"/>
      <c r="F50" s="44"/>
      <c r="G50" s="49"/>
      <c r="H50" s="43"/>
      <c r="I50" s="43"/>
      <c r="J50" s="43"/>
      <c r="K50" s="43"/>
      <c r="L50" s="43"/>
      <c r="M50" s="43"/>
      <c r="N50" s="43"/>
      <c r="O50" s="43"/>
      <c r="P50" s="43"/>
      <c r="Q50" s="43"/>
      <c r="R50" s="43"/>
      <c r="S50" s="43"/>
      <c r="T50" s="43"/>
      <c r="U50" s="43"/>
      <c r="V50" s="43"/>
      <c r="W50" s="43"/>
      <c r="X50" s="43"/>
      <c r="Y50" s="43"/>
      <c r="Z50" s="43"/>
      <c r="AA50" s="43"/>
      <c r="AB50" s="43"/>
      <c r="AC50" s="43"/>
      <c r="AD50" s="43"/>
      <c r="AE50" s="46"/>
      <c r="AF50" s="47"/>
      <c r="AG50" s="43"/>
      <c r="AH50" s="43"/>
      <c r="AI50" s="43"/>
      <c r="AJ50" s="48"/>
      <c r="BR50" s="33"/>
      <c r="BS50" s="33"/>
      <c r="BT50" s="33"/>
      <c r="BU50" s="33"/>
      <c r="BV50" s="33"/>
      <c r="BW50" s="33"/>
      <c r="BX50" s="33"/>
      <c r="BY50" s="33"/>
      <c r="BZ50" s="33"/>
      <c r="CA50" s="33"/>
      <c r="CB50" s="33"/>
      <c r="CC50" s="33"/>
      <c r="CD50" s="33"/>
      <c r="CE50" s="33"/>
      <c r="CF50" s="33"/>
      <c r="CG50" s="33"/>
      <c r="CH50" s="33"/>
      <c r="CI50" s="33"/>
      <c r="CJ50" s="33"/>
      <c r="CK50" s="33"/>
      <c r="CL50" s="33"/>
      <c r="CM50" s="33"/>
      <c r="CN50" s="33"/>
    </row>
    <row r="51" spans="1:256">
      <c r="A51" s="31"/>
      <c r="B51" s="42"/>
      <c r="C51" s="43"/>
      <c r="D51" s="43"/>
      <c r="E51" s="43"/>
      <c r="F51" s="44"/>
      <c r="G51" s="49"/>
      <c r="H51" s="43"/>
      <c r="I51" s="43"/>
      <c r="J51" s="43"/>
      <c r="K51" s="43"/>
      <c r="L51" s="43"/>
      <c r="M51" s="43"/>
      <c r="N51" s="43"/>
      <c r="O51" s="43"/>
      <c r="P51" s="43"/>
      <c r="Q51" s="43"/>
      <c r="R51" s="43"/>
      <c r="S51" s="43"/>
      <c r="T51" s="43"/>
      <c r="U51" s="43"/>
      <c r="V51" s="43"/>
      <c r="W51" s="43"/>
      <c r="X51" s="43"/>
      <c r="Y51" s="43"/>
      <c r="Z51" s="43"/>
      <c r="AA51" s="43"/>
      <c r="AB51" s="43"/>
      <c r="AC51" s="43"/>
      <c r="AD51" s="43"/>
      <c r="AE51" s="46"/>
      <c r="AF51" s="47"/>
      <c r="AG51" s="43"/>
      <c r="AH51" s="43"/>
      <c r="AI51" s="43"/>
      <c r="AJ51" s="48"/>
      <c r="BR51" s="33"/>
      <c r="BS51" s="33"/>
      <c r="BT51" s="33"/>
      <c r="BU51" s="33"/>
      <c r="BV51" s="33"/>
      <c r="BW51" s="33"/>
      <c r="BX51" s="33"/>
      <c r="BY51" s="33"/>
      <c r="BZ51" s="33"/>
      <c r="CA51" s="33"/>
      <c r="CB51" s="33"/>
      <c r="CC51" s="33"/>
      <c r="CD51" s="33"/>
      <c r="CE51" s="33"/>
      <c r="CF51" s="33"/>
      <c r="CG51" s="33"/>
      <c r="CH51" s="33"/>
      <c r="CI51" s="33"/>
      <c r="CJ51" s="33"/>
      <c r="CK51" s="33"/>
      <c r="CL51" s="33"/>
      <c r="CM51" s="33"/>
      <c r="CN51" s="33"/>
    </row>
    <row r="52" spans="1:256" ht="15" thickBot="1">
      <c r="A52" s="31"/>
      <c r="B52" s="51"/>
      <c r="C52" s="52"/>
      <c r="D52" s="52"/>
      <c r="E52" s="52"/>
      <c r="F52" s="53"/>
      <c r="G52" s="54"/>
      <c r="H52" s="52"/>
      <c r="I52" s="52"/>
      <c r="J52" s="52"/>
      <c r="K52" s="52"/>
      <c r="L52" s="52"/>
      <c r="M52" s="52"/>
      <c r="N52" s="52"/>
      <c r="O52" s="52"/>
      <c r="P52" s="52"/>
      <c r="Q52" s="52"/>
      <c r="R52" s="52"/>
      <c r="S52" s="52"/>
      <c r="T52" s="52"/>
      <c r="U52" s="52"/>
      <c r="V52" s="52"/>
      <c r="W52" s="52"/>
      <c r="X52" s="52"/>
      <c r="Y52" s="52"/>
      <c r="Z52" s="52"/>
      <c r="AA52" s="52"/>
      <c r="AB52" s="52"/>
      <c r="AC52" s="52"/>
      <c r="AD52" s="52"/>
      <c r="AE52" s="55"/>
      <c r="AF52" s="56"/>
      <c r="AG52" s="52"/>
      <c r="AH52" s="52"/>
      <c r="AI52" s="52"/>
      <c r="AJ52" s="57"/>
      <c r="BR52" s="33"/>
      <c r="BS52" s="33"/>
      <c r="BT52" s="33"/>
      <c r="BU52" s="33"/>
      <c r="BV52" s="33"/>
      <c r="BW52" s="33"/>
      <c r="BX52" s="33"/>
      <c r="BY52" s="33"/>
      <c r="BZ52" s="33"/>
      <c r="CA52" s="33"/>
      <c r="CB52" s="33"/>
      <c r="CC52" s="33"/>
      <c r="CD52" s="33"/>
      <c r="CE52" s="33"/>
      <c r="CF52" s="33"/>
      <c r="CG52" s="33"/>
      <c r="CH52" s="33"/>
      <c r="CI52" s="33"/>
      <c r="CJ52" s="33"/>
      <c r="CK52" s="33"/>
      <c r="CL52" s="33"/>
      <c r="CM52" s="33"/>
      <c r="CN52" s="33"/>
    </row>
    <row r="53" spans="1:256">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c r="HS53" s="32"/>
      <c r="HT53" s="32"/>
      <c r="HU53" s="32"/>
      <c r="HV53" s="32"/>
      <c r="HW53" s="32"/>
      <c r="HX53" s="32"/>
      <c r="HY53" s="32"/>
      <c r="HZ53" s="32"/>
      <c r="IA53" s="32"/>
      <c r="IB53" s="32"/>
      <c r="IC53" s="32"/>
      <c r="ID53" s="32"/>
      <c r="IE53" s="32"/>
      <c r="IF53" s="32"/>
      <c r="IG53" s="32"/>
      <c r="IH53" s="32"/>
      <c r="II53" s="32"/>
      <c r="IJ53" s="32"/>
      <c r="IK53" s="32"/>
      <c r="IL53" s="32"/>
      <c r="IM53" s="32"/>
      <c r="IN53" s="32"/>
      <c r="IO53" s="32"/>
      <c r="IP53" s="32"/>
      <c r="IQ53" s="32"/>
      <c r="IR53" s="32"/>
      <c r="IS53" s="32"/>
      <c r="IT53" s="32"/>
      <c r="IU53" s="32"/>
      <c r="IV53" s="32"/>
    </row>
    <row r="54" spans="1:256">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c r="HS54" s="32"/>
      <c r="HT54" s="32"/>
      <c r="HU54" s="32"/>
      <c r="HV54" s="32"/>
      <c r="HW54" s="32"/>
      <c r="HX54" s="32"/>
      <c r="HY54" s="32"/>
      <c r="HZ54" s="32"/>
      <c r="IA54" s="32"/>
      <c r="IB54" s="32"/>
      <c r="IC54" s="32"/>
      <c r="ID54" s="32"/>
      <c r="IE54" s="32"/>
      <c r="IF54" s="32"/>
      <c r="IG54" s="32"/>
      <c r="IH54" s="32"/>
      <c r="II54" s="32"/>
      <c r="IJ54" s="32"/>
      <c r="IK54" s="32"/>
      <c r="IL54" s="32"/>
      <c r="IM54" s="32"/>
      <c r="IN54" s="32"/>
      <c r="IO54" s="32"/>
      <c r="IP54" s="32"/>
      <c r="IQ54" s="32"/>
      <c r="IR54" s="32"/>
      <c r="IS54" s="32"/>
      <c r="IT54" s="32"/>
      <c r="IU54" s="32"/>
      <c r="IV54" s="32"/>
    </row>
    <row r="55" spans="1:256">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c r="HS55" s="32"/>
      <c r="HT55" s="32"/>
      <c r="HU55" s="32"/>
      <c r="HV55" s="32"/>
      <c r="HW55" s="32"/>
      <c r="HX55" s="32"/>
      <c r="HY55" s="32"/>
      <c r="HZ55" s="32"/>
      <c r="IA55" s="32"/>
      <c r="IB55" s="32"/>
      <c r="IC55" s="32"/>
      <c r="ID55" s="32"/>
      <c r="IE55" s="32"/>
      <c r="IF55" s="32"/>
      <c r="IG55" s="32"/>
      <c r="IH55" s="32"/>
      <c r="II55" s="32"/>
      <c r="IJ55" s="32"/>
      <c r="IK55" s="32"/>
      <c r="IL55" s="32"/>
      <c r="IM55" s="32"/>
      <c r="IN55" s="32"/>
      <c r="IO55" s="32"/>
      <c r="IP55" s="32"/>
      <c r="IQ55" s="32"/>
      <c r="IR55" s="32"/>
      <c r="IS55" s="32"/>
      <c r="IT55" s="32"/>
      <c r="IU55" s="32"/>
      <c r="IV55" s="32"/>
    </row>
    <row r="56" spans="1:256">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c r="HS56" s="32"/>
      <c r="HT56" s="32"/>
      <c r="HU56" s="32"/>
      <c r="HV56" s="32"/>
      <c r="HW56" s="32"/>
      <c r="HX56" s="32"/>
      <c r="HY56" s="32"/>
      <c r="HZ56" s="32"/>
      <c r="IA56" s="32"/>
      <c r="IB56" s="32"/>
      <c r="IC56" s="32"/>
      <c r="ID56" s="32"/>
      <c r="IE56" s="32"/>
      <c r="IF56" s="32"/>
      <c r="IG56" s="32"/>
      <c r="IH56" s="32"/>
      <c r="II56" s="32"/>
      <c r="IJ56" s="32"/>
      <c r="IK56" s="32"/>
      <c r="IL56" s="32"/>
      <c r="IM56" s="32"/>
      <c r="IN56" s="32"/>
      <c r="IO56" s="32"/>
      <c r="IP56" s="32"/>
      <c r="IQ56" s="32"/>
      <c r="IR56" s="32"/>
      <c r="IS56" s="32"/>
      <c r="IT56" s="32"/>
      <c r="IU56" s="32"/>
      <c r="IV56" s="32"/>
    </row>
    <row r="57" spans="1:256">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c r="HS57" s="32"/>
      <c r="HT57" s="32"/>
      <c r="HU57" s="32"/>
      <c r="HV57" s="32"/>
      <c r="HW57" s="32"/>
      <c r="HX57" s="32"/>
      <c r="HY57" s="32"/>
      <c r="HZ57" s="32"/>
      <c r="IA57" s="32"/>
      <c r="IB57" s="32"/>
      <c r="IC57" s="32"/>
      <c r="ID57" s="32"/>
      <c r="IE57" s="32"/>
      <c r="IF57" s="32"/>
      <c r="IG57" s="32"/>
      <c r="IH57" s="32"/>
      <c r="II57" s="32"/>
      <c r="IJ57" s="32"/>
      <c r="IK57" s="32"/>
      <c r="IL57" s="32"/>
      <c r="IM57" s="32"/>
      <c r="IN57" s="32"/>
      <c r="IO57" s="32"/>
      <c r="IP57" s="32"/>
      <c r="IQ57" s="32"/>
      <c r="IR57" s="32"/>
      <c r="IS57" s="32"/>
      <c r="IT57" s="32"/>
      <c r="IU57" s="32"/>
      <c r="IV57" s="32"/>
    </row>
    <row r="58" spans="1:256">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c r="IJ58" s="32"/>
      <c r="IK58" s="32"/>
      <c r="IL58" s="32"/>
      <c r="IM58" s="32"/>
      <c r="IN58" s="32"/>
      <c r="IO58" s="32"/>
      <c r="IP58" s="32"/>
      <c r="IQ58" s="32"/>
      <c r="IR58" s="32"/>
      <c r="IS58" s="32"/>
      <c r="IT58" s="32"/>
      <c r="IU58" s="32"/>
      <c r="IV58" s="32"/>
    </row>
    <row r="59" spans="1:256">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c r="HS59" s="32"/>
      <c r="HT59" s="32"/>
      <c r="HU59" s="32"/>
      <c r="HV59" s="32"/>
      <c r="HW59" s="32"/>
      <c r="HX59" s="32"/>
      <c r="HY59" s="32"/>
      <c r="HZ59" s="32"/>
      <c r="IA59" s="32"/>
      <c r="IB59" s="32"/>
      <c r="IC59" s="32"/>
      <c r="ID59" s="32"/>
      <c r="IE59" s="32"/>
      <c r="IF59" s="32"/>
      <c r="IG59" s="32"/>
      <c r="IH59" s="32"/>
      <c r="II59" s="32"/>
      <c r="IJ59" s="32"/>
      <c r="IK59" s="32"/>
      <c r="IL59" s="32"/>
      <c r="IM59" s="32"/>
      <c r="IN59" s="32"/>
      <c r="IO59" s="32"/>
      <c r="IP59" s="32"/>
      <c r="IQ59" s="32"/>
      <c r="IR59" s="32"/>
      <c r="IS59" s="32"/>
      <c r="IT59" s="32"/>
      <c r="IU59" s="32"/>
      <c r="IV59" s="32"/>
    </row>
    <row r="60" spans="1:256">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c r="HS60" s="32"/>
      <c r="HT60" s="32"/>
      <c r="HU60" s="32"/>
      <c r="HV60" s="32"/>
      <c r="HW60" s="32"/>
      <c r="HX60" s="32"/>
      <c r="HY60" s="32"/>
      <c r="HZ60" s="32"/>
      <c r="IA60" s="32"/>
      <c r="IB60" s="32"/>
      <c r="IC60" s="32"/>
      <c r="ID60" s="32"/>
      <c r="IE60" s="32"/>
      <c r="IF60" s="32"/>
      <c r="IG60" s="32"/>
      <c r="IH60" s="32"/>
      <c r="II60" s="32"/>
      <c r="IJ60" s="32"/>
      <c r="IK60" s="32"/>
      <c r="IL60" s="32"/>
      <c r="IM60" s="32"/>
      <c r="IN60" s="32"/>
      <c r="IO60" s="32"/>
      <c r="IP60" s="32"/>
      <c r="IQ60" s="32"/>
      <c r="IR60" s="32"/>
      <c r="IS60" s="32"/>
      <c r="IT60" s="32"/>
      <c r="IU60" s="32"/>
      <c r="IV60" s="32"/>
    </row>
    <row r="61" spans="1:256">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row>
    <row r="62" spans="1:256">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c r="HS62" s="32"/>
      <c r="HT62" s="32"/>
      <c r="HU62" s="32"/>
      <c r="HV62" s="32"/>
      <c r="HW62" s="32"/>
      <c r="HX62" s="32"/>
      <c r="HY62" s="32"/>
      <c r="HZ62" s="32"/>
      <c r="IA62" s="32"/>
      <c r="IB62" s="32"/>
      <c r="IC62" s="32"/>
      <c r="ID62" s="32"/>
      <c r="IE62" s="32"/>
      <c r="IF62" s="32"/>
      <c r="IG62" s="32"/>
      <c r="IH62" s="32"/>
      <c r="II62" s="32"/>
      <c r="IJ62" s="32"/>
      <c r="IK62" s="32"/>
      <c r="IL62" s="32"/>
      <c r="IM62" s="32"/>
      <c r="IN62" s="32"/>
      <c r="IO62" s="32"/>
      <c r="IP62" s="32"/>
      <c r="IQ62" s="32"/>
      <c r="IR62" s="32"/>
      <c r="IS62" s="32"/>
      <c r="IT62" s="32"/>
      <c r="IU62" s="32"/>
      <c r="IV62" s="32"/>
    </row>
    <row r="63" spans="1:256">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c r="HS63" s="32"/>
      <c r="HT63" s="32"/>
      <c r="HU63" s="32"/>
      <c r="HV63" s="32"/>
      <c r="HW63" s="32"/>
      <c r="HX63" s="32"/>
      <c r="HY63" s="32"/>
      <c r="HZ63" s="32"/>
      <c r="IA63" s="32"/>
      <c r="IB63" s="32"/>
      <c r="IC63" s="32"/>
      <c r="ID63" s="32"/>
      <c r="IE63" s="32"/>
      <c r="IF63" s="32"/>
      <c r="IG63" s="32"/>
      <c r="IH63" s="32"/>
      <c r="II63" s="32"/>
      <c r="IJ63" s="32"/>
      <c r="IK63" s="32"/>
      <c r="IL63" s="32"/>
      <c r="IM63" s="32"/>
      <c r="IN63" s="32"/>
      <c r="IO63" s="32"/>
      <c r="IP63" s="32"/>
      <c r="IQ63" s="32"/>
      <c r="IR63" s="32"/>
      <c r="IS63" s="32"/>
      <c r="IT63" s="32"/>
      <c r="IU63" s="32"/>
      <c r="IV63" s="32"/>
    </row>
    <row r="64" spans="1:256">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c r="HS64" s="32"/>
      <c r="HT64" s="32"/>
      <c r="HU64" s="32"/>
      <c r="HV64" s="32"/>
      <c r="HW64" s="32"/>
      <c r="HX64" s="32"/>
      <c r="HY64" s="32"/>
      <c r="HZ64" s="32"/>
      <c r="IA64" s="32"/>
      <c r="IB64" s="32"/>
      <c r="IC64" s="32"/>
      <c r="ID64" s="32"/>
      <c r="IE64" s="32"/>
      <c r="IF64" s="32"/>
      <c r="IG64" s="32"/>
      <c r="IH64" s="32"/>
      <c r="II64" s="32"/>
      <c r="IJ64" s="32"/>
      <c r="IK64" s="32"/>
      <c r="IL64" s="32"/>
      <c r="IM64" s="32"/>
      <c r="IN64" s="32"/>
      <c r="IO64" s="32"/>
      <c r="IP64" s="32"/>
      <c r="IQ64" s="32"/>
      <c r="IR64" s="32"/>
      <c r="IS64" s="32"/>
      <c r="IT64" s="32"/>
      <c r="IU64" s="32"/>
      <c r="IV64" s="32"/>
    </row>
    <row r="65" spans="93:256">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c r="HS65" s="32"/>
      <c r="HT65" s="32"/>
      <c r="HU65" s="32"/>
      <c r="HV65" s="32"/>
      <c r="HW65" s="32"/>
      <c r="HX65" s="32"/>
      <c r="HY65" s="32"/>
      <c r="HZ65" s="32"/>
      <c r="IA65" s="32"/>
      <c r="IB65" s="32"/>
      <c r="IC65" s="32"/>
      <c r="ID65" s="32"/>
      <c r="IE65" s="32"/>
      <c r="IF65" s="32"/>
      <c r="IG65" s="32"/>
      <c r="IH65" s="32"/>
      <c r="II65" s="32"/>
      <c r="IJ65" s="32"/>
      <c r="IK65" s="32"/>
      <c r="IL65" s="32"/>
      <c r="IM65" s="32"/>
      <c r="IN65" s="32"/>
      <c r="IO65" s="32"/>
      <c r="IP65" s="32"/>
      <c r="IQ65" s="32"/>
      <c r="IR65" s="32"/>
      <c r="IS65" s="32"/>
      <c r="IT65" s="32"/>
      <c r="IU65" s="32"/>
      <c r="IV65" s="32"/>
    </row>
    <row r="66" spans="93:256">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c r="HS66" s="32"/>
      <c r="HT66" s="32"/>
      <c r="HU66" s="32"/>
      <c r="HV66" s="32"/>
      <c r="HW66" s="32"/>
      <c r="HX66" s="32"/>
      <c r="HY66" s="32"/>
      <c r="HZ66" s="32"/>
      <c r="IA66" s="32"/>
      <c r="IB66" s="32"/>
      <c r="IC66" s="32"/>
      <c r="ID66" s="32"/>
      <c r="IE66" s="32"/>
      <c r="IF66" s="32"/>
      <c r="IG66" s="32"/>
      <c r="IH66" s="32"/>
      <c r="II66" s="32"/>
      <c r="IJ66" s="32"/>
      <c r="IK66" s="32"/>
      <c r="IL66" s="32"/>
      <c r="IM66" s="32"/>
      <c r="IN66" s="32"/>
      <c r="IO66" s="32"/>
      <c r="IP66" s="32"/>
      <c r="IQ66" s="32"/>
      <c r="IR66" s="32"/>
      <c r="IS66" s="32"/>
      <c r="IT66" s="32"/>
      <c r="IU66" s="32"/>
      <c r="IV66" s="32"/>
    </row>
    <row r="67" spans="93:256">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c r="HS67" s="32"/>
      <c r="HT67" s="32"/>
      <c r="HU67" s="32"/>
      <c r="HV67" s="32"/>
      <c r="HW67" s="32"/>
      <c r="HX67" s="32"/>
      <c r="HY67" s="32"/>
      <c r="HZ67" s="32"/>
      <c r="IA67" s="32"/>
      <c r="IB67" s="32"/>
      <c r="IC67" s="32"/>
      <c r="ID67" s="32"/>
      <c r="IE67" s="32"/>
      <c r="IF67" s="32"/>
      <c r="IG67" s="32"/>
      <c r="IH67" s="32"/>
      <c r="II67" s="32"/>
      <c r="IJ67" s="32"/>
      <c r="IK67" s="32"/>
      <c r="IL67" s="32"/>
      <c r="IM67" s="32"/>
      <c r="IN67" s="32"/>
      <c r="IO67" s="32"/>
      <c r="IP67" s="32"/>
      <c r="IQ67" s="32"/>
      <c r="IR67" s="32"/>
      <c r="IS67" s="32"/>
      <c r="IT67" s="32"/>
      <c r="IU67" s="32"/>
      <c r="IV67" s="32"/>
    </row>
    <row r="68" spans="93:256">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c r="HS68" s="32"/>
      <c r="HT68" s="32"/>
      <c r="HU68" s="32"/>
      <c r="HV68" s="32"/>
      <c r="HW68" s="32"/>
      <c r="HX68" s="32"/>
      <c r="HY68" s="32"/>
      <c r="HZ68" s="32"/>
      <c r="IA68" s="32"/>
      <c r="IB68" s="32"/>
      <c r="IC68" s="32"/>
      <c r="ID68" s="32"/>
      <c r="IE68" s="32"/>
      <c r="IF68" s="32"/>
      <c r="IG68" s="32"/>
      <c r="IH68" s="32"/>
      <c r="II68" s="32"/>
      <c r="IJ68" s="32"/>
      <c r="IK68" s="32"/>
      <c r="IL68" s="32"/>
      <c r="IM68" s="32"/>
      <c r="IN68" s="32"/>
      <c r="IO68" s="32"/>
      <c r="IP68" s="32"/>
      <c r="IQ68" s="32"/>
      <c r="IR68" s="32"/>
      <c r="IS68" s="32"/>
      <c r="IT68" s="32"/>
      <c r="IU68" s="32"/>
      <c r="IV68" s="32"/>
    </row>
    <row r="69" spans="93:256">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c r="HS69" s="32"/>
      <c r="HT69" s="32"/>
      <c r="HU69" s="32"/>
      <c r="HV69" s="32"/>
      <c r="HW69" s="32"/>
      <c r="HX69" s="32"/>
      <c r="HY69" s="32"/>
      <c r="HZ69" s="32"/>
      <c r="IA69" s="32"/>
      <c r="IB69" s="32"/>
      <c r="IC69" s="32"/>
      <c r="ID69" s="32"/>
      <c r="IE69" s="32"/>
      <c r="IF69" s="32"/>
      <c r="IG69" s="32"/>
      <c r="IH69" s="32"/>
      <c r="II69" s="32"/>
      <c r="IJ69" s="32"/>
      <c r="IK69" s="32"/>
      <c r="IL69" s="32"/>
      <c r="IM69" s="32"/>
      <c r="IN69" s="32"/>
      <c r="IO69" s="32"/>
      <c r="IP69" s="32"/>
      <c r="IQ69" s="32"/>
      <c r="IR69" s="32"/>
      <c r="IS69" s="32"/>
      <c r="IT69" s="32"/>
      <c r="IU69" s="32"/>
      <c r="IV69" s="32"/>
    </row>
    <row r="70" spans="93:256">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c r="HS70" s="32"/>
      <c r="HT70" s="32"/>
      <c r="HU70" s="32"/>
      <c r="HV70" s="32"/>
      <c r="HW70" s="32"/>
      <c r="HX70" s="32"/>
      <c r="HY70" s="32"/>
      <c r="HZ70" s="32"/>
      <c r="IA70" s="32"/>
      <c r="IB70" s="32"/>
      <c r="IC70" s="32"/>
      <c r="ID70" s="32"/>
      <c r="IE70" s="32"/>
      <c r="IF70" s="32"/>
      <c r="IG70" s="32"/>
      <c r="IH70" s="32"/>
      <c r="II70" s="32"/>
      <c r="IJ70" s="32"/>
      <c r="IK70" s="32"/>
      <c r="IL70" s="32"/>
      <c r="IM70" s="32"/>
      <c r="IN70" s="32"/>
      <c r="IO70" s="32"/>
      <c r="IP70" s="32"/>
      <c r="IQ70" s="32"/>
      <c r="IR70" s="32"/>
      <c r="IS70" s="32"/>
      <c r="IT70" s="32"/>
      <c r="IU70" s="32"/>
      <c r="IV70" s="32"/>
    </row>
    <row r="71" spans="93:256">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c r="HS71" s="32"/>
      <c r="HT71" s="32"/>
      <c r="HU71" s="32"/>
      <c r="HV71" s="32"/>
      <c r="HW71" s="32"/>
      <c r="HX71" s="32"/>
      <c r="HY71" s="32"/>
      <c r="HZ71" s="32"/>
      <c r="IA71" s="32"/>
      <c r="IB71" s="32"/>
      <c r="IC71" s="32"/>
      <c r="ID71" s="32"/>
      <c r="IE71" s="32"/>
      <c r="IF71" s="32"/>
      <c r="IG71" s="32"/>
      <c r="IH71" s="32"/>
      <c r="II71" s="32"/>
      <c r="IJ71" s="32"/>
      <c r="IK71" s="32"/>
      <c r="IL71" s="32"/>
      <c r="IM71" s="32"/>
      <c r="IN71" s="32"/>
      <c r="IO71" s="32"/>
      <c r="IP71" s="32"/>
      <c r="IQ71" s="32"/>
      <c r="IR71" s="32"/>
      <c r="IS71" s="32"/>
      <c r="IT71" s="32"/>
      <c r="IU71" s="32"/>
      <c r="IV71" s="32"/>
    </row>
    <row r="72" spans="93:256">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c r="HS72" s="32"/>
      <c r="HT72" s="32"/>
      <c r="HU72" s="32"/>
      <c r="HV72" s="32"/>
      <c r="HW72" s="32"/>
      <c r="HX72" s="32"/>
      <c r="HY72" s="32"/>
      <c r="HZ72" s="32"/>
      <c r="IA72" s="32"/>
      <c r="IB72" s="32"/>
      <c r="IC72" s="32"/>
      <c r="ID72" s="32"/>
      <c r="IE72" s="32"/>
      <c r="IF72" s="32"/>
      <c r="IG72" s="32"/>
      <c r="IH72" s="32"/>
      <c r="II72" s="32"/>
      <c r="IJ72" s="32"/>
      <c r="IK72" s="32"/>
      <c r="IL72" s="32"/>
      <c r="IM72" s="32"/>
      <c r="IN72" s="32"/>
      <c r="IO72" s="32"/>
      <c r="IP72" s="32"/>
      <c r="IQ72" s="32"/>
      <c r="IR72" s="32"/>
      <c r="IS72" s="32"/>
      <c r="IT72" s="32"/>
      <c r="IU72" s="32"/>
      <c r="IV72" s="32"/>
    </row>
    <row r="73" spans="93:256">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c r="IJ73" s="32"/>
      <c r="IK73" s="32"/>
      <c r="IL73" s="32"/>
      <c r="IM73" s="32"/>
      <c r="IN73" s="32"/>
      <c r="IO73" s="32"/>
      <c r="IP73" s="32"/>
      <c r="IQ73" s="32"/>
      <c r="IR73" s="32"/>
      <c r="IS73" s="32"/>
      <c r="IT73" s="32"/>
      <c r="IU73" s="32"/>
      <c r="IV73" s="32"/>
    </row>
    <row r="74" spans="93:256">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c r="IJ74" s="32"/>
      <c r="IK74" s="32"/>
      <c r="IL74" s="32"/>
      <c r="IM74" s="32"/>
      <c r="IN74" s="32"/>
      <c r="IO74" s="32"/>
      <c r="IP74" s="32"/>
      <c r="IQ74" s="32"/>
      <c r="IR74" s="32"/>
      <c r="IS74" s="32"/>
      <c r="IT74" s="32"/>
      <c r="IU74" s="32"/>
      <c r="IV74" s="32"/>
    </row>
    <row r="75" spans="93:256">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c r="IJ75" s="32"/>
      <c r="IK75" s="32"/>
      <c r="IL75" s="32"/>
      <c r="IM75" s="32"/>
      <c r="IN75" s="32"/>
      <c r="IO75" s="32"/>
      <c r="IP75" s="32"/>
      <c r="IQ75" s="32"/>
      <c r="IR75" s="32"/>
      <c r="IS75" s="32"/>
      <c r="IT75" s="32"/>
      <c r="IU75" s="32"/>
      <c r="IV75" s="32"/>
    </row>
    <row r="76" spans="93:256">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c r="IJ76" s="32"/>
      <c r="IK76" s="32"/>
      <c r="IL76" s="32"/>
      <c r="IM76" s="32"/>
      <c r="IN76" s="32"/>
      <c r="IO76" s="32"/>
      <c r="IP76" s="32"/>
      <c r="IQ76" s="32"/>
      <c r="IR76" s="32"/>
      <c r="IS76" s="32"/>
      <c r="IT76" s="32"/>
      <c r="IU76" s="32"/>
      <c r="IV76" s="32"/>
    </row>
    <row r="77" spans="93:256">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c r="IJ77" s="32"/>
      <c r="IK77" s="32"/>
      <c r="IL77" s="32"/>
      <c r="IM77" s="32"/>
      <c r="IN77" s="32"/>
      <c r="IO77" s="32"/>
      <c r="IP77" s="32"/>
      <c r="IQ77" s="32"/>
      <c r="IR77" s="32"/>
      <c r="IS77" s="32"/>
      <c r="IT77" s="32"/>
      <c r="IU77" s="32"/>
      <c r="IV77" s="32"/>
    </row>
    <row r="78" spans="93:256">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c r="IJ78" s="32"/>
      <c r="IK78" s="32"/>
      <c r="IL78" s="32"/>
      <c r="IM78" s="32"/>
      <c r="IN78" s="32"/>
      <c r="IO78" s="32"/>
      <c r="IP78" s="32"/>
      <c r="IQ78" s="32"/>
      <c r="IR78" s="32"/>
      <c r="IS78" s="32"/>
      <c r="IT78" s="32"/>
      <c r="IU78" s="32"/>
      <c r="IV78" s="32"/>
    </row>
    <row r="79" spans="93:256">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c r="IJ79" s="32"/>
      <c r="IK79" s="32"/>
      <c r="IL79" s="32"/>
      <c r="IM79" s="32"/>
      <c r="IN79" s="32"/>
      <c r="IO79" s="32"/>
      <c r="IP79" s="32"/>
      <c r="IQ79" s="32"/>
      <c r="IR79" s="32"/>
      <c r="IS79" s="32"/>
      <c r="IT79" s="32"/>
      <c r="IU79" s="32"/>
      <c r="IV79" s="32"/>
    </row>
    <row r="80" spans="93:256">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c r="IJ80" s="32"/>
      <c r="IK80" s="32"/>
      <c r="IL80" s="32"/>
      <c r="IM80" s="32"/>
      <c r="IN80" s="32"/>
      <c r="IO80" s="32"/>
      <c r="IP80" s="32"/>
      <c r="IQ80" s="32"/>
      <c r="IR80" s="32"/>
      <c r="IS80" s="32"/>
      <c r="IT80" s="32"/>
      <c r="IU80" s="32"/>
      <c r="IV80" s="32"/>
    </row>
    <row r="81" spans="93:256">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c r="IJ81" s="32"/>
      <c r="IK81" s="32"/>
      <c r="IL81" s="32"/>
      <c r="IM81" s="32"/>
      <c r="IN81" s="32"/>
      <c r="IO81" s="32"/>
      <c r="IP81" s="32"/>
      <c r="IQ81" s="32"/>
      <c r="IR81" s="32"/>
      <c r="IS81" s="32"/>
      <c r="IT81" s="32"/>
      <c r="IU81" s="32"/>
      <c r="IV81" s="32"/>
    </row>
    <row r="82" spans="93:256">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c r="IJ82" s="32"/>
      <c r="IK82" s="32"/>
      <c r="IL82" s="32"/>
      <c r="IM82" s="32"/>
      <c r="IN82" s="32"/>
      <c r="IO82" s="32"/>
      <c r="IP82" s="32"/>
      <c r="IQ82" s="32"/>
      <c r="IR82" s="32"/>
      <c r="IS82" s="32"/>
      <c r="IT82" s="32"/>
      <c r="IU82" s="32"/>
      <c r="IV82" s="32"/>
    </row>
    <row r="83" spans="93:256">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row>
    <row r="84" spans="93:256">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row>
    <row r="85" spans="93:256">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row>
    <row r="86" spans="93:256">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row>
    <row r="87" spans="93:256">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c r="IJ87" s="32"/>
      <c r="IK87" s="32"/>
      <c r="IL87" s="32"/>
      <c r="IM87" s="32"/>
      <c r="IN87" s="32"/>
      <c r="IO87" s="32"/>
      <c r="IP87" s="32"/>
      <c r="IQ87" s="32"/>
      <c r="IR87" s="32"/>
      <c r="IS87" s="32"/>
      <c r="IT87" s="32"/>
      <c r="IU87" s="32"/>
      <c r="IV87" s="32"/>
    </row>
    <row r="88" spans="93:256">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c r="IJ88" s="32"/>
      <c r="IK88" s="32"/>
      <c r="IL88" s="32"/>
      <c r="IM88" s="32"/>
      <c r="IN88" s="32"/>
      <c r="IO88" s="32"/>
      <c r="IP88" s="32"/>
      <c r="IQ88" s="32"/>
      <c r="IR88" s="32"/>
      <c r="IS88" s="32"/>
      <c r="IT88" s="32"/>
      <c r="IU88" s="32"/>
      <c r="IV88" s="32"/>
    </row>
    <row r="89" spans="93:256">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c r="IJ89" s="32"/>
      <c r="IK89" s="32"/>
      <c r="IL89" s="32"/>
      <c r="IM89" s="32"/>
      <c r="IN89" s="32"/>
      <c r="IO89" s="32"/>
      <c r="IP89" s="32"/>
      <c r="IQ89" s="32"/>
      <c r="IR89" s="32"/>
      <c r="IS89" s="32"/>
      <c r="IT89" s="32"/>
      <c r="IU89" s="32"/>
      <c r="IV89" s="32"/>
    </row>
    <row r="90" spans="93:256">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c r="IJ90" s="32"/>
      <c r="IK90" s="32"/>
      <c r="IL90" s="32"/>
      <c r="IM90" s="32"/>
      <c r="IN90" s="32"/>
      <c r="IO90" s="32"/>
      <c r="IP90" s="32"/>
      <c r="IQ90" s="32"/>
      <c r="IR90" s="32"/>
      <c r="IS90" s="32"/>
      <c r="IT90" s="32"/>
      <c r="IU90" s="32"/>
      <c r="IV90" s="32"/>
    </row>
    <row r="91" spans="93:256">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c r="IJ91" s="32"/>
      <c r="IK91" s="32"/>
      <c r="IL91" s="32"/>
      <c r="IM91" s="32"/>
      <c r="IN91" s="32"/>
      <c r="IO91" s="32"/>
      <c r="IP91" s="32"/>
      <c r="IQ91" s="32"/>
      <c r="IR91" s="32"/>
      <c r="IS91" s="32"/>
      <c r="IT91" s="32"/>
      <c r="IU91" s="32"/>
      <c r="IV91" s="32"/>
    </row>
    <row r="92" spans="93:256">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c r="IJ92" s="32"/>
      <c r="IK92" s="32"/>
      <c r="IL92" s="32"/>
      <c r="IM92" s="32"/>
      <c r="IN92" s="32"/>
      <c r="IO92" s="32"/>
      <c r="IP92" s="32"/>
      <c r="IQ92" s="32"/>
      <c r="IR92" s="32"/>
      <c r="IS92" s="32"/>
      <c r="IT92" s="32"/>
      <c r="IU92" s="32"/>
      <c r="IV92" s="32"/>
    </row>
    <row r="93" spans="93:256">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c r="IJ93" s="32"/>
      <c r="IK93" s="32"/>
      <c r="IL93" s="32"/>
      <c r="IM93" s="32"/>
      <c r="IN93" s="32"/>
      <c r="IO93" s="32"/>
      <c r="IP93" s="32"/>
      <c r="IQ93" s="32"/>
      <c r="IR93" s="32"/>
      <c r="IS93" s="32"/>
      <c r="IT93" s="32"/>
      <c r="IU93" s="32"/>
      <c r="IV93" s="32"/>
    </row>
    <row r="94" spans="93:256">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c r="IJ94" s="32"/>
      <c r="IK94" s="32"/>
      <c r="IL94" s="32"/>
      <c r="IM94" s="32"/>
      <c r="IN94" s="32"/>
      <c r="IO94" s="32"/>
      <c r="IP94" s="32"/>
      <c r="IQ94" s="32"/>
      <c r="IR94" s="32"/>
      <c r="IS94" s="32"/>
      <c r="IT94" s="32"/>
      <c r="IU94" s="32"/>
      <c r="IV94" s="32"/>
    </row>
    <row r="95" spans="93:256">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c r="IJ95" s="32"/>
      <c r="IK95" s="32"/>
      <c r="IL95" s="32"/>
      <c r="IM95" s="32"/>
      <c r="IN95" s="32"/>
      <c r="IO95" s="32"/>
      <c r="IP95" s="32"/>
      <c r="IQ95" s="32"/>
      <c r="IR95" s="32"/>
      <c r="IS95" s="32"/>
      <c r="IT95" s="32"/>
      <c r="IU95" s="32"/>
      <c r="IV95" s="32"/>
    </row>
    <row r="96" spans="93:256">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c r="IJ96" s="32"/>
      <c r="IK96" s="32"/>
      <c r="IL96" s="32"/>
      <c r="IM96" s="32"/>
      <c r="IN96" s="32"/>
      <c r="IO96" s="32"/>
      <c r="IP96" s="32"/>
      <c r="IQ96" s="32"/>
      <c r="IR96" s="32"/>
      <c r="IS96" s="32"/>
      <c r="IT96" s="32"/>
      <c r="IU96" s="32"/>
      <c r="IV96" s="32"/>
    </row>
    <row r="97" spans="93:256">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c r="IJ97" s="32"/>
      <c r="IK97" s="32"/>
      <c r="IL97" s="32"/>
      <c r="IM97" s="32"/>
      <c r="IN97" s="32"/>
      <c r="IO97" s="32"/>
      <c r="IP97" s="32"/>
      <c r="IQ97" s="32"/>
      <c r="IR97" s="32"/>
      <c r="IS97" s="32"/>
      <c r="IT97" s="32"/>
      <c r="IU97" s="32"/>
      <c r="IV97" s="32"/>
    </row>
    <row r="98" spans="93:256">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row>
    <row r="99" spans="93:256">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c r="IJ99" s="32"/>
      <c r="IK99" s="32"/>
      <c r="IL99" s="32"/>
      <c r="IM99" s="32"/>
      <c r="IN99" s="32"/>
      <c r="IO99" s="32"/>
      <c r="IP99" s="32"/>
      <c r="IQ99" s="32"/>
      <c r="IR99" s="32"/>
      <c r="IS99" s="32"/>
      <c r="IT99" s="32"/>
      <c r="IU99" s="32"/>
      <c r="IV99" s="32"/>
    </row>
    <row r="100" spans="93:256">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c r="IJ100" s="32"/>
      <c r="IK100" s="32"/>
      <c r="IL100" s="32"/>
      <c r="IM100" s="32"/>
      <c r="IN100" s="32"/>
      <c r="IO100" s="32"/>
      <c r="IP100" s="32"/>
      <c r="IQ100" s="32"/>
      <c r="IR100" s="32"/>
      <c r="IS100" s="32"/>
      <c r="IT100" s="32"/>
      <c r="IU100" s="32"/>
      <c r="IV100" s="32"/>
    </row>
    <row r="101" spans="93:256">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c r="IJ101" s="32"/>
      <c r="IK101" s="32"/>
      <c r="IL101" s="32"/>
      <c r="IM101" s="32"/>
      <c r="IN101" s="32"/>
      <c r="IO101" s="32"/>
      <c r="IP101" s="32"/>
      <c r="IQ101" s="32"/>
      <c r="IR101" s="32"/>
      <c r="IS101" s="32"/>
      <c r="IT101" s="32"/>
      <c r="IU101" s="32"/>
      <c r="IV101" s="32"/>
    </row>
    <row r="102" spans="93:256">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c r="IJ102" s="32"/>
      <c r="IK102" s="32"/>
      <c r="IL102" s="32"/>
      <c r="IM102" s="32"/>
      <c r="IN102" s="32"/>
      <c r="IO102" s="32"/>
      <c r="IP102" s="32"/>
      <c r="IQ102" s="32"/>
      <c r="IR102" s="32"/>
      <c r="IS102" s="32"/>
      <c r="IT102" s="32"/>
      <c r="IU102" s="32"/>
      <c r="IV102" s="32"/>
    </row>
    <row r="103" spans="93:256">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c r="IJ103" s="32"/>
      <c r="IK103" s="32"/>
      <c r="IL103" s="32"/>
      <c r="IM103" s="32"/>
      <c r="IN103" s="32"/>
      <c r="IO103" s="32"/>
      <c r="IP103" s="32"/>
      <c r="IQ103" s="32"/>
      <c r="IR103" s="32"/>
      <c r="IS103" s="32"/>
      <c r="IT103" s="32"/>
      <c r="IU103" s="32"/>
      <c r="IV103" s="32"/>
    </row>
    <row r="104" spans="93:256">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c r="IJ104" s="32"/>
      <c r="IK104" s="32"/>
      <c r="IL104" s="32"/>
      <c r="IM104" s="32"/>
      <c r="IN104" s="32"/>
      <c r="IO104" s="32"/>
      <c r="IP104" s="32"/>
      <c r="IQ104" s="32"/>
      <c r="IR104" s="32"/>
      <c r="IS104" s="32"/>
      <c r="IT104" s="32"/>
      <c r="IU104" s="32"/>
      <c r="IV104" s="32"/>
    </row>
    <row r="105" spans="93:256">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c r="IJ105" s="32"/>
      <c r="IK105" s="32"/>
      <c r="IL105" s="32"/>
      <c r="IM105" s="32"/>
      <c r="IN105" s="32"/>
      <c r="IO105" s="32"/>
      <c r="IP105" s="32"/>
      <c r="IQ105" s="32"/>
      <c r="IR105" s="32"/>
      <c r="IS105" s="32"/>
      <c r="IT105" s="32"/>
      <c r="IU105" s="32"/>
      <c r="IV105" s="32"/>
    </row>
  </sheetData>
  <sheetProtection algorithmName="SHA-512" hashValue="6RNFjxfY0il7SmU82YxRp9M2MayvEQTyg0oTBQdeQjRvFXcmLI0H8/lHuWDXrlDoBkruBraIO2Q/lcWrZ17E9g==" saltValue="xJN1yIHfnkWxMY1QgdbkOQ==" spinCount="100000" sheet="1" objects="1" scenarios="1"/>
  <mergeCells count="46">
    <mergeCell ref="B1:F1"/>
    <mergeCell ref="G1:AE1"/>
    <mergeCell ref="AF1:AJ1"/>
    <mergeCell ref="B2:F5"/>
    <mergeCell ref="G2:L2"/>
    <mergeCell ref="M2:AE2"/>
    <mergeCell ref="AF2:AJ2"/>
    <mergeCell ref="G3:L3"/>
    <mergeCell ref="M3:AE3"/>
    <mergeCell ref="AF3:AJ3"/>
    <mergeCell ref="G4:AE4"/>
    <mergeCell ref="AF4:AJ4"/>
    <mergeCell ref="G5:L5"/>
    <mergeCell ref="M5:S5"/>
    <mergeCell ref="T5:Y5"/>
    <mergeCell ref="Z5:AE5"/>
    <mergeCell ref="AF5:AJ5"/>
    <mergeCell ref="H35:I35"/>
    <mergeCell ref="J35:Y35"/>
    <mergeCell ref="Z35:AD35"/>
    <mergeCell ref="H7:AD12"/>
    <mergeCell ref="H14:AD16"/>
    <mergeCell ref="H18:AD18"/>
    <mergeCell ref="H20:AD21"/>
    <mergeCell ref="H23:M23"/>
    <mergeCell ref="H24:AD24"/>
    <mergeCell ref="H26:AD27"/>
    <mergeCell ref="H29:X29"/>
    <mergeCell ref="H34:I34"/>
    <mergeCell ref="J34:Y34"/>
    <mergeCell ref="Z34:AD34"/>
    <mergeCell ref="H36:I36"/>
    <mergeCell ref="J36:Y36"/>
    <mergeCell ref="Z36:AD36"/>
    <mergeCell ref="H37:I37"/>
    <mergeCell ref="J37:Y37"/>
    <mergeCell ref="Z37:AD37"/>
    <mergeCell ref="H40:I40"/>
    <mergeCell ref="J40:Y40"/>
    <mergeCell ref="Z40:AD40"/>
    <mergeCell ref="H38:I38"/>
    <mergeCell ref="J38:Y38"/>
    <mergeCell ref="Z38:AD38"/>
    <mergeCell ref="H39:I39"/>
    <mergeCell ref="J39:Y39"/>
    <mergeCell ref="Z39:AD39"/>
  </mergeCells>
  <hyperlinks>
    <hyperlink ref="H30" r:id="rId1" xr:uid="{00000000-0004-0000-0000-000000000000}"/>
  </hyperlinks>
  <pageMargins left="0.7" right="0.7" top="0.75" bottom="0.75" header="0.3" footer="0.3"/>
  <pageSetup paperSize="9" scale="96" orientation="portrait" r:id="rId2"/>
  <rowBreaks count="1" manualBreakCount="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C40C-D194-4DAE-8F3C-24290182E15A}">
  <dimension ref="A1:BX176"/>
  <sheetViews>
    <sheetView view="pageBreakPreview" topLeftCell="A7" zoomScale="90" zoomScaleNormal="55" zoomScaleSheetLayoutView="90" workbookViewId="0">
      <selection activeCell="AH25" sqref="AH25"/>
    </sheetView>
  </sheetViews>
  <sheetFormatPr defaultColWidth="9.109375" defaultRowHeight="14.4"/>
  <cols>
    <col min="1" max="1" width="1" style="58" customWidth="1"/>
    <col min="2" max="36" width="2.44140625" style="58" customWidth="1"/>
    <col min="37" max="53" width="9.109375" style="58" customWidth="1"/>
    <col min="54" max="54" width="9.109375" style="58" hidden="1" customWidth="1"/>
    <col min="55" max="55" width="39.109375" style="58" hidden="1" customWidth="1"/>
    <col min="56" max="56" width="5.5546875" style="58" hidden="1" customWidth="1"/>
    <col min="57" max="65" width="9.109375" style="58" hidden="1" customWidth="1"/>
    <col min="66" max="66" width="21.44140625" style="58" hidden="1" customWidth="1"/>
    <col min="67" max="72" width="9.109375" style="58" hidden="1" customWidth="1"/>
    <col min="73" max="73" width="17.5546875" style="58" hidden="1" customWidth="1"/>
    <col min="74" max="75" width="9.109375" style="58" hidden="1" customWidth="1"/>
    <col min="76" max="76" width="0" style="59" hidden="1" customWidth="1"/>
    <col min="77" max="16384" width="9.109375" style="59"/>
  </cols>
  <sheetData>
    <row r="1" spans="2:76" ht="15" thickBot="1">
      <c r="B1" s="142" t="s">
        <v>7</v>
      </c>
      <c r="C1" s="143"/>
      <c r="D1" s="143"/>
      <c r="E1" s="143"/>
      <c r="F1" s="143"/>
      <c r="G1" s="144" t="s">
        <v>237</v>
      </c>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2" t="s">
        <v>23</v>
      </c>
      <c r="AG1" s="143"/>
      <c r="AH1" s="143"/>
      <c r="AI1" s="143"/>
      <c r="AJ1" s="143"/>
    </row>
    <row r="2" spans="2:76">
      <c r="B2" s="202" t="s">
        <v>0</v>
      </c>
      <c r="C2" s="203"/>
      <c r="D2" s="203"/>
      <c r="E2" s="203"/>
      <c r="F2" s="204"/>
      <c r="G2" s="211" t="s">
        <v>1</v>
      </c>
      <c r="H2" s="212"/>
      <c r="I2" s="212"/>
      <c r="J2" s="212"/>
      <c r="K2" s="212"/>
      <c r="L2" s="212"/>
      <c r="M2" s="213"/>
      <c r="N2" s="214"/>
      <c r="O2" s="214"/>
      <c r="P2" s="214"/>
      <c r="Q2" s="214"/>
      <c r="R2" s="214"/>
      <c r="S2" s="214"/>
      <c r="T2" s="214"/>
      <c r="U2" s="214"/>
      <c r="V2" s="214"/>
      <c r="W2" s="214"/>
      <c r="X2" s="214"/>
      <c r="Y2" s="214"/>
      <c r="Z2" s="214"/>
      <c r="AA2" s="214"/>
      <c r="AB2" s="214"/>
      <c r="AC2" s="214"/>
      <c r="AD2" s="214"/>
      <c r="AE2" s="215"/>
      <c r="AF2" s="216" t="s">
        <v>2</v>
      </c>
      <c r="AG2" s="212"/>
      <c r="AH2" s="212"/>
      <c r="AI2" s="212"/>
      <c r="AJ2" s="217"/>
      <c r="BN2" s="58" t="s">
        <v>103</v>
      </c>
    </row>
    <row r="3" spans="2:76">
      <c r="B3" s="205"/>
      <c r="C3" s="206"/>
      <c r="D3" s="206"/>
      <c r="E3" s="206"/>
      <c r="F3" s="207"/>
      <c r="G3" s="157" t="s">
        <v>3</v>
      </c>
      <c r="H3" s="158"/>
      <c r="I3" s="158"/>
      <c r="J3" s="158"/>
      <c r="K3" s="158"/>
      <c r="L3" s="159"/>
      <c r="M3" s="160" t="s">
        <v>22</v>
      </c>
      <c r="N3" s="161"/>
      <c r="O3" s="161"/>
      <c r="P3" s="161"/>
      <c r="Q3" s="161"/>
      <c r="R3" s="161"/>
      <c r="S3" s="161"/>
      <c r="T3" s="161"/>
      <c r="U3" s="161"/>
      <c r="V3" s="161"/>
      <c r="W3" s="161"/>
      <c r="X3" s="161"/>
      <c r="Y3" s="161"/>
      <c r="Z3" s="161"/>
      <c r="AA3" s="161"/>
      <c r="AB3" s="161"/>
      <c r="AC3" s="161"/>
      <c r="AD3" s="161"/>
      <c r="AE3" s="162"/>
      <c r="AF3" s="173"/>
      <c r="AG3" s="158"/>
      <c r="AH3" s="158"/>
      <c r="AI3" s="158"/>
      <c r="AJ3" s="174"/>
      <c r="BN3" s="58" t="s">
        <v>99</v>
      </c>
      <c r="BO3" s="58" t="s">
        <v>27</v>
      </c>
      <c r="BP3" s="58">
        <f>Y9</f>
        <v>12.95</v>
      </c>
      <c r="BQ3" s="58" t="s">
        <v>29</v>
      </c>
    </row>
    <row r="4" spans="2:76">
      <c r="B4" s="205"/>
      <c r="C4" s="206"/>
      <c r="D4" s="206"/>
      <c r="E4" s="206"/>
      <c r="F4" s="207"/>
      <c r="G4" s="175"/>
      <c r="H4" s="176"/>
      <c r="I4" s="176"/>
      <c r="J4" s="176"/>
      <c r="K4" s="176"/>
      <c r="L4" s="176"/>
      <c r="M4" s="176"/>
      <c r="N4" s="176"/>
      <c r="O4" s="176"/>
      <c r="P4" s="176"/>
      <c r="Q4" s="176"/>
      <c r="R4" s="176"/>
      <c r="S4" s="176"/>
      <c r="T4" s="176"/>
      <c r="U4" s="176"/>
      <c r="V4" s="176"/>
      <c r="W4" s="176"/>
      <c r="X4" s="176"/>
      <c r="Y4" s="176"/>
      <c r="Z4" s="176"/>
      <c r="AA4" s="176"/>
      <c r="AB4" s="176"/>
      <c r="AC4" s="176"/>
      <c r="AD4" s="176"/>
      <c r="AE4" s="177"/>
      <c r="AF4" s="157" t="s">
        <v>4</v>
      </c>
      <c r="AG4" s="178"/>
      <c r="AH4" s="178"/>
      <c r="AI4" s="178"/>
      <c r="AJ4" s="179"/>
      <c r="BN4" s="58" t="s">
        <v>100</v>
      </c>
      <c r="BO4" s="58" t="s">
        <v>104</v>
      </c>
      <c r="BP4" s="58">
        <f>Y10</f>
        <v>20</v>
      </c>
      <c r="BQ4" s="58" t="s">
        <v>29</v>
      </c>
    </row>
    <row r="5" spans="2:76" ht="15" thickBot="1">
      <c r="B5" s="208"/>
      <c r="C5" s="209"/>
      <c r="D5" s="209"/>
      <c r="E5" s="209"/>
      <c r="F5" s="210"/>
      <c r="G5" s="180" t="s">
        <v>5</v>
      </c>
      <c r="H5" s="181"/>
      <c r="I5" s="181"/>
      <c r="J5" s="181"/>
      <c r="K5" s="181"/>
      <c r="L5" s="182"/>
      <c r="M5" s="183">
        <v>1</v>
      </c>
      <c r="N5" s="184"/>
      <c r="O5" s="184"/>
      <c r="P5" s="184"/>
      <c r="Q5" s="184"/>
      <c r="R5" s="184"/>
      <c r="S5" s="185"/>
      <c r="T5" s="186" t="s">
        <v>6</v>
      </c>
      <c r="U5" s="180"/>
      <c r="V5" s="180"/>
      <c r="W5" s="180"/>
      <c r="X5" s="180"/>
      <c r="Y5" s="187"/>
      <c r="Z5" s="245"/>
      <c r="AA5" s="184"/>
      <c r="AB5" s="184"/>
      <c r="AC5" s="184"/>
      <c r="AD5" s="184"/>
      <c r="AE5" s="246"/>
      <c r="AF5" s="247"/>
      <c r="AG5" s="184"/>
      <c r="AH5" s="184"/>
      <c r="AI5" s="184"/>
      <c r="AJ5" s="248"/>
      <c r="BN5" s="58" t="s">
        <v>101</v>
      </c>
      <c r="BO5" s="58" t="s">
        <v>105</v>
      </c>
      <c r="BP5" s="58">
        <f>Y11</f>
        <v>0.15</v>
      </c>
      <c r="BQ5" s="58" t="s">
        <v>29</v>
      </c>
    </row>
    <row r="6" spans="2:76">
      <c r="B6" s="3"/>
      <c r="C6" s="4"/>
      <c r="D6" s="4"/>
      <c r="E6" s="4"/>
      <c r="F6" s="5"/>
      <c r="G6" s="6"/>
      <c r="H6" s="7"/>
      <c r="I6" s="7"/>
      <c r="J6" s="7"/>
      <c r="K6" s="7"/>
      <c r="L6" s="7"/>
      <c r="M6" s="7"/>
      <c r="N6" s="7"/>
      <c r="O6" s="7"/>
      <c r="P6" s="7"/>
      <c r="Q6" s="7"/>
      <c r="R6" s="7"/>
      <c r="S6" s="7"/>
      <c r="T6" s="7"/>
      <c r="U6" s="7"/>
      <c r="V6" s="7"/>
      <c r="W6" s="7"/>
      <c r="X6" s="4"/>
      <c r="Y6" s="4"/>
      <c r="Z6" s="4"/>
      <c r="AA6" s="4"/>
      <c r="AB6" s="4"/>
      <c r="AC6" s="4"/>
      <c r="AD6" s="4"/>
      <c r="AE6" s="8"/>
      <c r="AF6" s="9"/>
      <c r="AG6" s="4"/>
      <c r="AH6" s="4"/>
      <c r="AI6" s="4"/>
      <c r="AJ6" s="10"/>
      <c r="BN6" s="58" t="s">
        <v>102</v>
      </c>
      <c r="BO6" s="58" t="s">
        <v>106</v>
      </c>
      <c r="BP6" s="58">
        <f>Y12</f>
        <v>0</v>
      </c>
      <c r="BQ6" s="58" t="s">
        <v>81</v>
      </c>
    </row>
    <row r="7" spans="2:76">
      <c r="B7" s="11"/>
      <c r="C7" s="12"/>
      <c r="D7" s="12"/>
      <c r="E7" s="12"/>
      <c r="F7" s="13"/>
      <c r="G7" s="14"/>
      <c r="H7" s="15" t="s">
        <v>24</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c r="BU7" s="58" t="s">
        <v>69</v>
      </c>
    </row>
    <row r="8" spans="2:76" ht="15" thickBot="1">
      <c r="B8" s="11"/>
      <c r="C8" s="12"/>
      <c r="D8" s="12"/>
      <c r="E8" s="12"/>
      <c r="F8" s="13"/>
      <c r="G8" s="14"/>
      <c r="H8" s="19"/>
      <c r="I8" s="19"/>
      <c r="J8" s="19"/>
      <c r="K8" s="19"/>
      <c r="L8" s="19"/>
      <c r="M8" s="19"/>
      <c r="N8" s="19"/>
      <c r="O8" s="19"/>
      <c r="P8" s="19"/>
      <c r="Q8" s="19"/>
      <c r="R8" s="19"/>
      <c r="S8" s="19"/>
      <c r="T8" s="19"/>
      <c r="U8" s="19"/>
      <c r="V8" s="19"/>
      <c r="W8" s="19"/>
      <c r="X8" s="19"/>
      <c r="Y8" s="19"/>
      <c r="Z8" s="19"/>
      <c r="AA8" s="19"/>
      <c r="AB8" s="19"/>
      <c r="AC8" s="19"/>
      <c r="AD8" s="19"/>
      <c r="AE8" s="16"/>
      <c r="AF8" s="17"/>
      <c r="AG8" s="12"/>
      <c r="AH8" s="12"/>
      <c r="AI8" s="12"/>
      <c r="AJ8" s="18"/>
      <c r="BC8" s="58" t="s">
        <v>167</v>
      </c>
      <c r="BD8" s="58" t="s">
        <v>168</v>
      </c>
      <c r="BN8" s="58" t="s">
        <v>111</v>
      </c>
      <c r="BU8" s="58" t="s">
        <v>70</v>
      </c>
      <c r="BV8" s="58" t="s">
        <v>82</v>
      </c>
      <c r="BW8" s="60">
        <f>$G$23</f>
        <v>0.6</v>
      </c>
      <c r="BX8" s="59" t="s">
        <v>29</v>
      </c>
    </row>
    <row r="9" spans="2:76" ht="15.6">
      <c r="B9" s="11"/>
      <c r="C9" s="12"/>
      <c r="D9" s="12"/>
      <c r="E9" s="12"/>
      <c r="F9" s="13"/>
      <c r="G9" s="14"/>
      <c r="H9" s="242" t="s">
        <v>26</v>
      </c>
      <c r="I9" s="243"/>
      <c r="J9" s="243"/>
      <c r="K9" s="243"/>
      <c r="L9" s="243"/>
      <c r="M9" s="243"/>
      <c r="N9" s="243"/>
      <c r="O9" s="243"/>
      <c r="P9" s="243"/>
      <c r="Q9" s="243"/>
      <c r="R9" s="243"/>
      <c r="S9" s="243"/>
      <c r="T9" s="243"/>
      <c r="U9" s="243"/>
      <c r="V9" s="244"/>
      <c r="W9" s="200" t="s">
        <v>28</v>
      </c>
      <c r="X9" s="201"/>
      <c r="Y9" s="251">
        <v>12.95</v>
      </c>
      <c r="Z9" s="252"/>
      <c r="AA9" s="253"/>
      <c r="AB9" s="254" t="s">
        <v>29</v>
      </c>
      <c r="AC9" s="243"/>
      <c r="AD9" s="255"/>
      <c r="AE9" s="14"/>
      <c r="AF9" s="17"/>
      <c r="AG9" s="12"/>
      <c r="AH9" s="12"/>
      <c r="AI9" s="12"/>
      <c r="AJ9" s="18"/>
      <c r="BC9" s="58" t="s">
        <v>46</v>
      </c>
      <c r="BD9" s="58">
        <v>0.5</v>
      </c>
      <c r="BN9" s="58" t="s">
        <v>107</v>
      </c>
      <c r="BO9" s="58" t="s">
        <v>108</v>
      </c>
      <c r="BP9" s="58">
        <f>BP3</f>
        <v>12.95</v>
      </c>
      <c r="BQ9" s="58" t="s">
        <v>29</v>
      </c>
      <c r="BU9" s="58" t="s">
        <v>71</v>
      </c>
      <c r="BV9" s="58" t="s">
        <v>83</v>
      </c>
      <c r="BW9" s="58">
        <f>PI()*(BW8/2)^2</f>
        <v>0.28274333882308139</v>
      </c>
      <c r="BX9" s="59" t="s">
        <v>78</v>
      </c>
    </row>
    <row r="10" spans="2:76" ht="15.6">
      <c r="B10" s="11"/>
      <c r="C10" s="12"/>
      <c r="D10" s="12"/>
      <c r="E10" s="12"/>
      <c r="F10" s="13"/>
      <c r="G10" s="14"/>
      <c r="H10" s="163" t="s">
        <v>30</v>
      </c>
      <c r="I10" s="146"/>
      <c r="J10" s="146"/>
      <c r="K10" s="146"/>
      <c r="L10" s="146"/>
      <c r="M10" s="146"/>
      <c r="N10" s="146"/>
      <c r="O10" s="146"/>
      <c r="P10" s="146"/>
      <c r="Q10" s="146"/>
      <c r="R10" s="146"/>
      <c r="S10" s="146"/>
      <c r="T10" s="146"/>
      <c r="U10" s="146"/>
      <c r="V10" s="164"/>
      <c r="W10" s="218" t="s">
        <v>31</v>
      </c>
      <c r="X10" s="219"/>
      <c r="Y10" s="154">
        <v>20</v>
      </c>
      <c r="Z10" s="155"/>
      <c r="AA10" s="156"/>
      <c r="AB10" s="145" t="s">
        <v>29</v>
      </c>
      <c r="AC10" s="146"/>
      <c r="AD10" s="147"/>
      <c r="AE10" s="14"/>
      <c r="AF10" s="17"/>
      <c r="AG10" s="12"/>
      <c r="AH10" s="12"/>
      <c r="AI10" s="12"/>
      <c r="AJ10" s="18"/>
      <c r="BC10" s="58" t="s">
        <v>45</v>
      </c>
      <c r="BD10" s="58">
        <v>2</v>
      </c>
      <c r="BN10" s="58" t="s">
        <v>109</v>
      </c>
      <c r="BO10" s="58" t="s">
        <v>110</v>
      </c>
      <c r="BP10" s="58">
        <f>BP9+(BP6^2/(2*9.81))</f>
        <v>12.95</v>
      </c>
      <c r="BQ10" s="58" t="s">
        <v>29</v>
      </c>
      <c r="BU10" s="58" t="s">
        <v>72</v>
      </c>
      <c r="BV10" s="58" t="s">
        <v>84</v>
      </c>
      <c r="BW10" s="61">
        <f>$I$23</f>
        <v>87</v>
      </c>
      <c r="BX10" s="59" t="s">
        <v>29</v>
      </c>
    </row>
    <row r="11" spans="2:76" ht="15.6">
      <c r="B11" s="11"/>
      <c r="C11" s="12"/>
      <c r="D11" s="12"/>
      <c r="E11" s="12"/>
      <c r="F11" s="13"/>
      <c r="G11" s="14"/>
      <c r="H11" s="163" t="s">
        <v>33</v>
      </c>
      <c r="I11" s="146"/>
      <c r="J11" s="146"/>
      <c r="K11" s="146"/>
      <c r="L11" s="146"/>
      <c r="M11" s="146"/>
      <c r="N11" s="146"/>
      <c r="O11" s="146"/>
      <c r="P11" s="146"/>
      <c r="Q11" s="146"/>
      <c r="R11" s="146"/>
      <c r="S11" s="146"/>
      <c r="T11" s="146"/>
      <c r="U11" s="146"/>
      <c r="V11" s="164"/>
      <c r="W11" s="218" t="s">
        <v>32</v>
      </c>
      <c r="X11" s="219"/>
      <c r="Y11" s="154">
        <v>0.15</v>
      </c>
      <c r="Z11" s="155"/>
      <c r="AA11" s="156"/>
      <c r="AB11" s="145" t="s">
        <v>29</v>
      </c>
      <c r="AC11" s="146"/>
      <c r="AD11" s="147"/>
      <c r="AE11" s="14"/>
      <c r="AF11" s="17"/>
      <c r="AG11" s="12"/>
      <c r="AH11" s="12"/>
      <c r="AI11" s="12"/>
      <c r="AJ11" s="18"/>
      <c r="BC11" s="58" t="s">
        <v>47</v>
      </c>
      <c r="BD11" s="58">
        <v>0.8</v>
      </c>
      <c r="BU11" s="58" t="s">
        <v>73</v>
      </c>
      <c r="BV11" s="58" t="s">
        <v>85</v>
      </c>
      <c r="BW11" s="61">
        <f>$O$23</f>
        <v>1</v>
      </c>
      <c r="BX11" s="59" t="s">
        <v>80</v>
      </c>
    </row>
    <row r="12" spans="2:76" ht="16.2" thickBot="1">
      <c r="B12" s="11"/>
      <c r="C12" s="12"/>
      <c r="D12" s="12"/>
      <c r="E12" s="12"/>
      <c r="F12" s="13"/>
      <c r="G12" s="14"/>
      <c r="H12" s="165" t="s">
        <v>34</v>
      </c>
      <c r="I12" s="152"/>
      <c r="J12" s="152"/>
      <c r="K12" s="152"/>
      <c r="L12" s="152"/>
      <c r="M12" s="152"/>
      <c r="N12" s="152"/>
      <c r="O12" s="152"/>
      <c r="P12" s="152"/>
      <c r="Q12" s="152"/>
      <c r="R12" s="152"/>
      <c r="S12" s="152"/>
      <c r="T12" s="152"/>
      <c r="U12" s="152"/>
      <c r="V12" s="166"/>
      <c r="W12" s="249" t="s">
        <v>35</v>
      </c>
      <c r="X12" s="250"/>
      <c r="Y12" s="148">
        <v>0</v>
      </c>
      <c r="Z12" s="149"/>
      <c r="AA12" s="150"/>
      <c r="AB12" s="151" t="s">
        <v>81</v>
      </c>
      <c r="AC12" s="152"/>
      <c r="AD12" s="153"/>
      <c r="AE12" s="14"/>
      <c r="AF12" s="17"/>
      <c r="AG12" s="12"/>
      <c r="AH12" s="12"/>
      <c r="AI12" s="12"/>
      <c r="AJ12" s="18"/>
      <c r="BC12" s="58" t="s">
        <v>48</v>
      </c>
      <c r="BD12" s="58">
        <v>0.3</v>
      </c>
      <c r="BN12" s="58" t="s">
        <v>112</v>
      </c>
      <c r="BU12" s="58" t="s">
        <v>74</v>
      </c>
      <c r="BV12" s="58" t="s">
        <v>86</v>
      </c>
      <c r="BW12" s="60">
        <f>$K$23</f>
        <v>0.75</v>
      </c>
      <c r="BX12" s="59" t="s">
        <v>79</v>
      </c>
    </row>
    <row r="13" spans="2:76">
      <c r="B13" s="11"/>
      <c r="C13" s="12"/>
      <c r="D13" s="12"/>
      <c r="E13" s="12"/>
      <c r="F13" s="13"/>
      <c r="G13" s="14"/>
      <c r="H13" s="4"/>
      <c r="I13" s="6"/>
      <c r="J13" s="6"/>
      <c r="K13" s="6"/>
      <c r="L13" s="6"/>
      <c r="M13" s="6"/>
      <c r="N13" s="6"/>
      <c r="O13" s="6"/>
      <c r="P13" s="6"/>
      <c r="Q13" s="6"/>
      <c r="R13" s="6"/>
      <c r="S13" s="6"/>
      <c r="T13" s="6"/>
      <c r="U13" s="6"/>
      <c r="V13" s="6"/>
      <c r="W13" s="6"/>
      <c r="X13" s="6"/>
      <c r="Y13" s="4"/>
      <c r="Z13" s="4"/>
      <c r="AA13" s="4"/>
      <c r="AB13" s="4"/>
      <c r="AC13" s="4"/>
      <c r="AD13" s="4"/>
      <c r="AE13" s="16"/>
      <c r="AF13" s="17"/>
      <c r="AG13" s="12"/>
      <c r="AH13" s="12"/>
      <c r="AI13" s="12"/>
      <c r="AJ13" s="18"/>
      <c r="BC13" s="58" t="s">
        <v>49</v>
      </c>
      <c r="BD13" s="58">
        <v>0.3</v>
      </c>
      <c r="BN13" s="58" t="s">
        <v>113</v>
      </c>
      <c r="BO13" s="58" t="s">
        <v>115</v>
      </c>
      <c r="BP13" s="58">
        <f>$Y$17</f>
        <v>1</v>
      </c>
      <c r="BU13" s="58" t="s">
        <v>75</v>
      </c>
      <c r="BV13" s="58" t="s">
        <v>87</v>
      </c>
      <c r="BW13" s="58">
        <f>BW12/BW9</f>
        <v>2.6525823848649224</v>
      </c>
      <c r="BX13" s="59" t="s">
        <v>81</v>
      </c>
    </row>
    <row r="14" spans="2:76">
      <c r="B14" s="11"/>
      <c r="C14" s="12"/>
      <c r="D14" s="12"/>
      <c r="E14" s="12"/>
      <c r="F14" s="13"/>
      <c r="G14" s="14"/>
      <c r="H14" s="15" t="s">
        <v>36</v>
      </c>
      <c r="I14" s="20"/>
      <c r="J14" s="20"/>
      <c r="K14" s="20"/>
      <c r="L14" s="20"/>
      <c r="M14" s="20"/>
      <c r="N14" s="20"/>
      <c r="O14" s="20"/>
      <c r="P14" s="20"/>
      <c r="Q14" s="20"/>
      <c r="R14" s="20"/>
      <c r="S14" s="20"/>
      <c r="T14" s="20"/>
      <c r="U14" s="20"/>
      <c r="V14" s="20"/>
      <c r="W14" s="20"/>
      <c r="X14" s="20"/>
      <c r="Y14" s="12"/>
      <c r="Z14" s="12"/>
      <c r="AA14" s="12"/>
      <c r="AB14" s="12"/>
      <c r="AC14" s="12"/>
      <c r="AD14" s="12"/>
      <c r="AE14" s="16"/>
      <c r="AF14" s="17"/>
      <c r="AG14" s="12"/>
      <c r="AH14" s="12"/>
      <c r="AI14" s="12"/>
      <c r="AJ14" s="18"/>
      <c r="BC14" s="58" t="s">
        <v>50</v>
      </c>
      <c r="BD14" s="58">
        <v>0.3</v>
      </c>
      <c r="BN14" s="58" t="s">
        <v>114</v>
      </c>
      <c r="BO14" s="58" t="s">
        <v>116</v>
      </c>
      <c r="BP14" s="58">
        <f>BP13*($BW$13^2/(2*9.81))</f>
        <v>0.35862351215574306</v>
      </c>
      <c r="BU14" s="58" t="s">
        <v>76</v>
      </c>
      <c r="BV14" s="58" t="s">
        <v>88</v>
      </c>
      <c r="BW14" s="58">
        <f>Y18</f>
        <v>13</v>
      </c>
      <c r="BX14" s="59" t="s">
        <v>29</v>
      </c>
    </row>
    <row r="15" spans="2:76" ht="15" thickBot="1">
      <c r="B15" s="11"/>
      <c r="C15" s="12"/>
      <c r="D15" s="12"/>
      <c r="E15" s="12"/>
      <c r="F15" s="21"/>
      <c r="G15" s="19"/>
      <c r="H15" s="19"/>
      <c r="I15" s="19"/>
      <c r="J15" s="19"/>
      <c r="K15" s="19"/>
      <c r="L15" s="19"/>
      <c r="M15" s="19"/>
      <c r="N15" s="19"/>
      <c r="O15" s="19"/>
      <c r="P15" s="19"/>
      <c r="Q15" s="19"/>
      <c r="R15" s="19"/>
      <c r="S15" s="19"/>
      <c r="T15" s="19"/>
      <c r="U15" s="19"/>
      <c r="V15" s="19"/>
      <c r="W15" s="19"/>
      <c r="X15" s="19"/>
      <c r="Y15" s="19"/>
      <c r="Z15" s="19"/>
      <c r="AA15" s="19"/>
      <c r="AB15" s="19"/>
      <c r="AC15" s="19"/>
      <c r="AD15" s="19"/>
      <c r="AE15" s="22"/>
      <c r="AF15" s="23"/>
      <c r="AG15" s="19"/>
      <c r="AH15" s="19"/>
      <c r="AI15" s="12"/>
      <c r="AJ15" s="18"/>
      <c r="BC15" s="58" t="s">
        <v>51</v>
      </c>
      <c r="BD15" s="58">
        <v>0.3</v>
      </c>
      <c r="BN15" s="58" t="s">
        <v>117</v>
      </c>
      <c r="BO15" s="58" t="s">
        <v>118</v>
      </c>
      <c r="BP15" s="58">
        <f>BP9</f>
        <v>12.95</v>
      </c>
      <c r="BQ15" s="58" t="s">
        <v>29</v>
      </c>
      <c r="BU15" s="58" t="s">
        <v>77</v>
      </c>
      <c r="BV15" s="58" t="s">
        <v>89</v>
      </c>
      <c r="BW15" s="58">
        <f>BW14+BW10*BW11%</f>
        <v>13.87</v>
      </c>
      <c r="BX15" s="59" t="s">
        <v>29</v>
      </c>
    </row>
    <row r="16" spans="2:76" ht="15" thickBot="1">
      <c r="B16" s="11"/>
      <c r="C16" s="12"/>
      <c r="D16" s="12"/>
      <c r="E16" s="12"/>
      <c r="F16" s="13"/>
      <c r="G16" s="20"/>
      <c r="H16" s="239" t="s">
        <v>65</v>
      </c>
      <c r="I16" s="240"/>
      <c r="J16" s="240"/>
      <c r="K16" s="240"/>
      <c r="L16" s="240"/>
      <c r="M16" s="240"/>
      <c r="N16" s="240"/>
      <c r="O16" s="240"/>
      <c r="P16" s="240"/>
      <c r="Q16" s="240"/>
      <c r="R16" s="240"/>
      <c r="S16" s="240"/>
      <c r="T16" s="240"/>
      <c r="U16" s="240"/>
      <c r="V16" s="241"/>
      <c r="W16" s="231" t="s">
        <v>68</v>
      </c>
      <c r="X16" s="232"/>
      <c r="Y16" s="233"/>
      <c r="Z16" s="233"/>
      <c r="AA16" s="233"/>
      <c r="AB16" s="232"/>
      <c r="AC16" s="232"/>
      <c r="AD16" s="234"/>
      <c r="AE16" s="16"/>
      <c r="AF16" s="17"/>
      <c r="AG16" s="12"/>
      <c r="AH16" s="12"/>
      <c r="AI16" s="20"/>
      <c r="AJ16" s="18"/>
      <c r="BC16" s="58" t="s">
        <v>52</v>
      </c>
      <c r="BD16" s="58">
        <v>1.2</v>
      </c>
      <c r="BN16" s="58" t="s">
        <v>120</v>
      </c>
      <c r="BO16" s="58" t="s">
        <v>121</v>
      </c>
      <c r="BP16" s="58">
        <f>BP15+BP14</f>
        <v>13.308623512155743</v>
      </c>
      <c r="BQ16" s="58" t="s">
        <v>29</v>
      </c>
    </row>
    <row r="17" spans="2:76">
      <c r="B17" s="11"/>
      <c r="C17" s="12"/>
      <c r="D17" s="12"/>
      <c r="E17" s="12"/>
      <c r="F17" s="13"/>
      <c r="G17" s="20"/>
      <c r="H17" s="163" t="s">
        <v>66</v>
      </c>
      <c r="I17" s="146"/>
      <c r="J17" s="146"/>
      <c r="K17" s="146"/>
      <c r="L17" s="146"/>
      <c r="M17" s="146"/>
      <c r="N17" s="146"/>
      <c r="O17" s="146"/>
      <c r="P17" s="146"/>
      <c r="Q17" s="146"/>
      <c r="R17" s="146"/>
      <c r="S17" s="146"/>
      <c r="T17" s="146"/>
      <c r="U17" s="146"/>
      <c r="V17" s="164"/>
      <c r="W17" s="235"/>
      <c r="X17" s="236"/>
      <c r="Y17" s="154">
        <v>1</v>
      </c>
      <c r="Z17" s="155"/>
      <c r="AA17" s="156"/>
      <c r="AB17" s="237"/>
      <c r="AC17" s="238"/>
      <c r="AD17" s="224"/>
      <c r="AE17" s="16"/>
      <c r="AF17" s="17"/>
      <c r="AG17" s="12"/>
      <c r="AH17" s="12"/>
      <c r="AI17" s="20"/>
      <c r="AJ17" s="18"/>
      <c r="BC17" s="58" t="s">
        <v>53</v>
      </c>
      <c r="BD17" s="58">
        <v>0.5</v>
      </c>
      <c r="BU17" s="58" t="s">
        <v>90</v>
      </c>
    </row>
    <row r="18" spans="2:76">
      <c r="B18" s="11"/>
      <c r="C18" s="12"/>
      <c r="D18" s="12"/>
      <c r="E18" s="12"/>
      <c r="F18" s="13"/>
      <c r="G18" s="20"/>
      <c r="H18" s="163" t="s">
        <v>67</v>
      </c>
      <c r="I18" s="146"/>
      <c r="J18" s="146"/>
      <c r="K18" s="146"/>
      <c r="L18" s="146"/>
      <c r="M18" s="146"/>
      <c r="N18" s="146"/>
      <c r="O18" s="146"/>
      <c r="P18" s="146"/>
      <c r="Q18" s="146"/>
      <c r="R18" s="146"/>
      <c r="S18" s="146"/>
      <c r="T18" s="146"/>
      <c r="U18" s="146"/>
      <c r="V18" s="164"/>
      <c r="W18" s="218"/>
      <c r="X18" s="219"/>
      <c r="Y18" s="154">
        <v>13</v>
      </c>
      <c r="Z18" s="155"/>
      <c r="AA18" s="156"/>
      <c r="AB18" s="145" t="s">
        <v>29</v>
      </c>
      <c r="AC18" s="146"/>
      <c r="AD18" s="147"/>
      <c r="AE18" s="16"/>
      <c r="AF18" s="17"/>
      <c r="AG18" s="12"/>
      <c r="AH18" s="12"/>
      <c r="AI18" s="20"/>
      <c r="AJ18" s="18"/>
      <c r="BC18" s="58" t="s">
        <v>54</v>
      </c>
      <c r="BD18" s="58">
        <v>0.15</v>
      </c>
      <c r="BN18" s="58" t="s">
        <v>140</v>
      </c>
      <c r="BU18" s="58" t="s">
        <v>70</v>
      </c>
      <c r="BV18" s="58" t="s">
        <v>82</v>
      </c>
      <c r="BW18" s="60">
        <f>$G$24</f>
        <v>0.52500000000000002</v>
      </c>
      <c r="BX18" s="59" t="s">
        <v>29</v>
      </c>
    </row>
    <row r="19" spans="2:76" ht="15" thickBot="1">
      <c r="B19" s="11"/>
      <c r="C19" s="12"/>
      <c r="D19" s="12"/>
      <c r="E19" s="12"/>
      <c r="F19" s="13"/>
      <c r="G19" s="20"/>
      <c r="H19" s="165" t="s">
        <v>43</v>
      </c>
      <c r="I19" s="152"/>
      <c r="J19" s="152"/>
      <c r="K19" s="152"/>
      <c r="L19" s="152"/>
      <c r="M19" s="152"/>
      <c r="N19" s="152"/>
      <c r="O19" s="152"/>
      <c r="P19" s="152"/>
      <c r="Q19" s="152"/>
      <c r="R19" s="152"/>
      <c r="S19" s="152"/>
      <c r="T19" s="152"/>
      <c r="U19" s="152"/>
      <c r="V19" s="166"/>
      <c r="W19" s="249"/>
      <c r="X19" s="250"/>
      <c r="Y19" s="148">
        <v>15</v>
      </c>
      <c r="Z19" s="149"/>
      <c r="AA19" s="150"/>
      <c r="AB19" s="151" t="s">
        <v>29</v>
      </c>
      <c r="AC19" s="152"/>
      <c r="AD19" s="153"/>
      <c r="AE19" s="16"/>
      <c r="AF19" s="17"/>
      <c r="AG19" s="12"/>
      <c r="AH19" s="12"/>
      <c r="AI19" s="20"/>
      <c r="AJ19" s="18"/>
      <c r="BC19" s="58" t="s">
        <v>55</v>
      </c>
      <c r="BD19" s="58">
        <v>0.5</v>
      </c>
      <c r="BN19" s="58" t="s">
        <v>123</v>
      </c>
      <c r="BO19" s="58" t="s">
        <v>124</v>
      </c>
      <c r="BP19" s="60">
        <f>$M$23*10^-3</f>
        <v>5.9999999999999995E-4</v>
      </c>
      <c r="BQ19" s="58" t="s">
        <v>64</v>
      </c>
      <c r="BU19" s="58" t="s">
        <v>71</v>
      </c>
      <c r="BV19" s="58" t="s">
        <v>83</v>
      </c>
      <c r="BW19" s="58">
        <f>PI()*(BW18/2)^2</f>
        <v>0.21647536878642168</v>
      </c>
      <c r="BX19" s="59" t="s">
        <v>78</v>
      </c>
    </row>
    <row r="20" spans="2:76" ht="15" thickBot="1">
      <c r="B20" s="11"/>
      <c r="C20" s="12"/>
      <c r="D20" s="12"/>
      <c r="E20" s="12"/>
      <c r="F20" s="13"/>
      <c r="G20" s="20"/>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20"/>
      <c r="AJ20" s="18"/>
      <c r="BC20" s="58" t="s">
        <v>56</v>
      </c>
      <c r="BD20" s="58">
        <v>1</v>
      </c>
      <c r="BG20" s="58" t="s">
        <v>169</v>
      </c>
      <c r="BH20" s="58" t="s">
        <v>163</v>
      </c>
      <c r="BI20" s="58" t="s">
        <v>119</v>
      </c>
      <c r="BJ20" s="58" t="s">
        <v>170</v>
      </c>
      <c r="BN20" s="58" t="s">
        <v>125</v>
      </c>
      <c r="BO20" s="58" t="s">
        <v>126</v>
      </c>
      <c r="BP20" s="58">
        <f>1.31*10^-6</f>
        <v>1.31E-6</v>
      </c>
      <c r="BQ20" s="58" t="s">
        <v>139</v>
      </c>
      <c r="BU20" s="58" t="s">
        <v>72</v>
      </c>
      <c r="BV20" s="58" t="s">
        <v>84</v>
      </c>
      <c r="BW20" s="61">
        <f>$I$24</f>
        <v>100</v>
      </c>
      <c r="BX20" s="59" t="s">
        <v>29</v>
      </c>
    </row>
    <row r="21" spans="2:76">
      <c r="B21" s="11"/>
      <c r="C21" s="12"/>
      <c r="D21" s="12"/>
      <c r="E21" s="270" t="s">
        <v>37</v>
      </c>
      <c r="F21" s="271"/>
      <c r="G21" s="311" t="s">
        <v>38</v>
      </c>
      <c r="H21" s="304"/>
      <c r="I21" s="167" t="s">
        <v>39</v>
      </c>
      <c r="J21" s="188"/>
      <c r="K21" s="188" t="s">
        <v>40</v>
      </c>
      <c r="L21" s="189"/>
      <c r="M21" s="167" t="s">
        <v>41</v>
      </c>
      <c r="N21" s="168"/>
      <c r="O21" s="306" t="s">
        <v>42</v>
      </c>
      <c r="P21" s="307"/>
      <c r="Q21" s="167" t="s">
        <v>43</v>
      </c>
      <c r="R21" s="188"/>
      <c r="S21" s="304"/>
      <c r="T21" s="266" t="s">
        <v>44</v>
      </c>
      <c r="U21" s="267"/>
      <c r="V21" s="296" t="s">
        <v>63</v>
      </c>
      <c r="W21" s="297"/>
      <c r="X21" s="297"/>
      <c r="Y21" s="298"/>
      <c r="Z21" s="298"/>
      <c r="AA21" s="298"/>
      <c r="AB21" s="298"/>
      <c r="AC21" s="298"/>
      <c r="AD21" s="298"/>
      <c r="AE21" s="299"/>
      <c r="AF21" s="257" t="s">
        <v>59</v>
      </c>
      <c r="AG21" s="258"/>
      <c r="AH21" s="12"/>
      <c r="AI21" s="20"/>
      <c r="AJ21" s="18"/>
      <c r="BC21" s="58" t="s">
        <v>57</v>
      </c>
      <c r="BD21" s="58">
        <v>2</v>
      </c>
      <c r="BF21" s="58">
        <v>1</v>
      </c>
      <c r="BG21" s="58">
        <v>0</v>
      </c>
      <c r="BH21" s="60">
        <f>M38</f>
        <v>12.95</v>
      </c>
      <c r="BI21" s="60">
        <f>P38</f>
        <v>13.308623512155743</v>
      </c>
      <c r="BJ21" s="60">
        <f>S38</f>
        <v>15</v>
      </c>
      <c r="BN21" s="58" t="s">
        <v>127</v>
      </c>
      <c r="BO21" s="58" t="s">
        <v>128</v>
      </c>
      <c r="BP21" s="58">
        <f>($BW$13*$BW$8/BP20)</f>
        <v>1214923.2297091247</v>
      </c>
      <c r="BU21" s="58" t="s">
        <v>73</v>
      </c>
      <c r="BV21" s="58" t="s">
        <v>85</v>
      </c>
      <c r="BW21" s="61">
        <f>$O$24</f>
        <v>0.8</v>
      </c>
      <c r="BX21" s="59" t="s">
        <v>80</v>
      </c>
    </row>
    <row r="22" spans="2:76" ht="15" thickBot="1">
      <c r="B22" s="11"/>
      <c r="C22" s="12"/>
      <c r="D22" s="12"/>
      <c r="E22" s="272"/>
      <c r="F22" s="273"/>
      <c r="G22" s="312"/>
      <c r="H22" s="305"/>
      <c r="I22" s="225"/>
      <c r="J22" s="190"/>
      <c r="K22" s="190"/>
      <c r="L22" s="191"/>
      <c r="M22" s="169"/>
      <c r="N22" s="170"/>
      <c r="O22" s="308"/>
      <c r="P22" s="309"/>
      <c r="Q22" s="225"/>
      <c r="R22" s="190"/>
      <c r="S22" s="305"/>
      <c r="T22" s="268"/>
      <c r="U22" s="269"/>
      <c r="V22" s="300"/>
      <c r="W22" s="301"/>
      <c r="X22" s="301"/>
      <c r="Y22" s="302"/>
      <c r="Z22" s="302"/>
      <c r="AA22" s="302"/>
      <c r="AB22" s="302"/>
      <c r="AC22" s="302"/>
      <c r="AD22" s="302"/>
      <c r="AE22" s="303"/>
      <c r="AF22" s="259"/>
      <c r="AG22" s="260"/>
      <c r="AH22" s="12"/>
      <c r="AI22" s="20"/>
      <c r="AJ22" s="18"/>
      <c r="BC22" s="58" t="s">
        <v>58</v>
      </c>
      <c r="BF22" s="58">
        <v>2</v>
      </c>
      <c r="BG22" s="61">
        <f>I23</f>
        <v>87</v>
      </c>
      <c r="BH22" s="58">
        <f>IF(G23="",M38,M39)</f>
        <v>14.329670135981026</v>
      </c>
      <c r="BI22" s="58">
        <f>IF(G23="",P38,P39)</f>
        <v>14.601579415594136</v>
      </c>
      <c r="BJ22" s="58">
        <f t="shared" ref="BJ22:BJ31" si="0">IF(G23="",BJ21,S39)</f>
        <v>17</v>
      </c>
      <c r="BN22" s="58" t="s">
        <v>129</v>
      </c>
      <c r="BO22" s="58" t="s">
        <v>130</v>
      </c>
      <c r="BP22" s="58">
        <f>(1/(-2*LOG10((BP19/(3.7*$BW$8)))+(5.1286/BP21^0.89)))^2</f>
        <v>1.9635357457849546E-2</v>
      </c>
      <c r="BQ22" s="62"/>
      <c r="BU22" s="58" t="s">
        <v>74</v>
      </c>
      <c r="BV22" s="58" t="s">
        <v>86</v>
      </c>
      <c r="BW22" s="60">
        <f>$K$24</f>
        <v>0.5</v>
      </c>
      <c r="BX22" s="59" t="s">
        <v>79</v>
      </c>
    </row>
    <row r="23" spans="2:76">
      <c r="B23" s="11"/>
      <c r="C23" s="12"/>
      <c r="D23" s="12"/>
      <c r="E23" s="223">
        <v>1</v>
      </c>
      <c r="F23" s="224"/>
      <c r="G23" s="463">
        <v>0.6</v>
      </c>
      <c r="H23" s="127"/>
      <c r="I23" s="140">
        <v>87</v>
      </c>
      <c r="J23" s="141"/>
      <c r="K23" s="126">
        <v>0.75</v>
      </c>
      <c r="L23" s="127"/>
      <c r="M23" s="126">
        <v>0.6</v>
      </c>
      <c r="N23" s="127"/>
      <c r="O23" s="140">
        <v>1</v>
      </c>
      <c r="P23" s="141"/>
      <c r="Q23" s="120">
        <v>17</v>
      </c>
      <c r="R23" s="124"/>
      <c r="S23" s="121"/>
      <c r="T23" s="120">
        <v>0.1</v>
      </c>
      <c r="U23" s="121"/>
      <c r="V23" s="264" t="s">
        <v>45</v>
      </c>
      <c r="W23" s="265"/>
      <c r="X23" s="265"/>
      <c r="Y23" s="265"/>
      <c r="Z23" s="265"/>
      <c r="AA23" s="265"/>
      <c r="AB23" s="265"/>
      <c r="AC23" s="265"/>
      <c r="AD23" s="265"/>
      <c r="AE23" s="265"/>
      <c r="AF23" s="120">
        <v>1</v>
      </c>
      <c r="AG23" s="261"/>
      <c r="AH23" s="12"/>
      <c r="AI23" s="20"/>
      <c r="AJ23" s="18"/>
      <c r="BF23" s="58">
        <v>3</v>
      </c>
      <c r="BG23" s="61">
        <f t="shared" ref="BG23:BG31" si="1">BG22+I24</f>
        <v>187</v>
      </c>
      <c r="BH23" s="58">
        <f t="shared" ref="BH23:BH31" si="2">IF(BH22=BH21,BH22,IF(G24="",M39,M40))</f>
        <v>15.652416727203887</v>
      </c>
      <c r="BI23" s="58">
        <f t="shared" ref="BI23:BI31" si="3">IF(BI22=BI21,BI22,IF(G24="",P39,P40))</f>
        <v>16.156162236734041</v>
      </c>
      <c r="BJ23" s="58">
        <f t="shared" si="0"/>
        <v>18</v>
      </c>
      <c r="BN23" s="58" t="s">
        <v>131</v>
      </c>
      <c r="BO23" s="58" t="s">
        <v>132</v>
      </c>
      <c r="BP23" s="58">
        <f>BP22*$BW$13^2/(2*9.81*$BW$8)</f>
        <v>1.1736168089945778E-2</v>
      </c>
      <c r="BQ23" s="58" t="s">
        <v>29</v>
      </c>
      <c r="BU23" s="58" t="s">
        <v>75</v>
      </c>
      <c r="BV23" s="58" t="s">
        <v>87</v>
      </c>
      <c r="BW23" s="58">
        <f>BW22/BW19</f>
        <v>2.3097316004265993</v>
      </c>
      <c r="BX23" s="59" t="s">
        <v>81</v>
      </c>
    </row>
    <row r="24" spans="2:76">
      <c r="B24" s="11"/>
      <c r="C24" s="12"/>
      <c r="D24" s="12"/>
      <c r="E24" s="163">
        <v>2</v>
      </c>
      <c r="F24" s="147"/>
      <c r="G24" s="462">
        <v>0.52500000000000002</v>
      </c>
      <c r="H24" s="461"/>
      <c r="I24" s="128">
        <v>100</v>
      </c>
      <c r="J24" s="129"/>
      <c r="K24" s="115">
        <v>0.5</v>
      </c>
      <c r="L24" s="461"/>
      <c r="M24" s="115">
        <v>0.6</v>
      </c>
      <c r="N24" s="461"/>
      <c r="O24" s="128">
        <v>0.8</v>
      </c>
      <c r="P24" s="129"/>
      <c r="Q24" s="122">
        <v>18</v>
      </c>
      <c r="R24" s="125"/>
      <c r="S24" s="123"/>
      <c r="T24" s="122">
        <v>0.2</v>
      </c>
      <c r="U24" s="123"/>
      <c r="V24" s="262" t="s">
        <v>45</v>
      </c>
      <c r="W24" s="263"/>
      <c r="X24" s="263"/>
      <c r="Y24" s="263"/>
      <c r="Z24" s="263"/>
      <c r="AA24" s="263"/>
      <c r="AB24" s="263"/>
      <c r="AC24" s="263"/>
      <c r="AD24" s="263"/>
      <c r="AE24" s="263"/>
      <c r="AF24" s="122">
        <v>1</v>
      </c>
      <c r="AG24" s="276"/>
      <c r="AH24" s="12"/>
      <c r="AI24" s="20"/>
      <c r="AJ24" s="18"/>
      <c r="BC24" s="58" t="s">
        <v>60</v>
      </c>
      <c r="BD24" s="58">
        <v>0.15</v>
      </c>
      <c r="BF24" s="58">
        <v>4</v>
      </c>
      <c r="BG24" s="61">
        <f t="shared" si="1"/>
        <v>262</v>
      </c>
      <c r="BH24" s="58">
        <f t="shared" si="2"/>
        <v>17.926502702584035</v>
      </c>
      <c r="BI24" s="58">
        <f t="shared" si="3"/>
        <v>18.09363337275391</v>
      </c>
      <c r="BJ24" s="58">
        <f t="shared" si="0"/>
        <v>18.5</v>
      </c>
      <c r="BN24" s="58" t="s">
        <v>133</v>
      </c>
      <c r="BO24" s="58" t="s">
        <v>134</v>
      </c>
      <c r="BP24" s="58">
        <f>BP23*$BW$10</f>
        <v>1.0210466238252827</v>
      </c>
      <c r="BQ24" s="58" t="s">
        <v>29</v>
      </c>
      <c r="BU24" s="58" t="s">
        <v>76</v>
      </c>
      <c r="BV24" s="58" t="s">
        <v>88</v>
      </c>
      <c r="BW24" s="63">
        <f>BW15+$T$23</f>
        <v>13.969999999999999</v>
      </c>
      <c r="BX24" s="59" t="s">
        <v>29</v>
      </c>
    </row>
    <row r="25" spans="2:76">
      <c r="B25" s="11"/>
      <c r="C25" s="12"/>
      <c r="D25" s="12"/>
      <c r="E25" s="163">
        <v>3</v>
      </c>
      <c r="F25" s="147"/>
      <c r="G25" s="499">
        <v>0.45</v>
      </c>
      <c r="H25" s="498"/>
      <c r="I25" s="485">
        <v>75</v>
      </c>
      <c r="J25" s="486"/>
      <c r="K25" s="489">
        <v>0.5</v>
      </c>
      <c r="L25" s="498"/>
      <c r="M25" s="489">
        <v>0.6</v>
      </c>
      <c r="N25" s="498"/>
      <c r="O25" s="485">
        <v>1</v>
      </c>
      <c r="P25" s="486"/>
      <c r="Q25" s="491">
        <v>18.5</v>
      </c>
      <c r="R25" s="492"/>
      <c r="S25" s="493"/>
      <c r="T25" s="491">
        <v>0.1</v>
      </c>
      <c r="U25" s="493"/>
      <c r="V25" s="494" t="s">
        <v>45</v>
      </c>
      <c r="W25" s="495"/>
      <c r="X25" s="495"/>
      <c r="Y25" s="495"/>
      <c r="Z25" s="495"/>
      <c r="AA25" s="495"/>
      <c r="AB25" s="495"/>
      <c r="AC25" s="495"/>
      <c r="AD25" s="495"/>
      <c r="AE25" s="495"/>
      <c r="AF25" s="491">
        <v>1</v>
      </c>
      <c r="AG25" s="496"/>
      <c r="AH25" s="12"/>
      <c r="AI25" s="20"/>
      <c r="AJ25" s="18"/>
      <c r="BC25" s="58" t="s">
        <v>61</v>
      </c>
      <c r="BD25" s="58">
        <v>6</v>
      </c>
      <c r="BF25" s="58">
        <v>5</v>
      </c>
      <c r="BG25" s="61">
        <f t="shared" si="1"/>
        <v>312</v>
      </c>
      <c r="BH25" s="58">
        <f t="shared" si="2"/>
        <v>18.753026130475952</v>
      </c>
      <c r="BI25" s="58">
        <f t="shared" si="3"/>
        <v>18.920156800645827</v>
      </c>
      <c r="BJ25" s="58">
        <f t="shared" si="0"/>
        <v>19</v>
      </c>
      <c r="BN25" s="58" t="s">
        <v>135</v>
      </c>
      <c r="BO25" s="58" t="s">
        <v>136</v>
      </c>
      <c r="BP25" s="58">
        <f>BP16+BP24</f>
        <v>14.329670135981026</v>
      </c>
      <c r="BQ25" s="58" t="s">
        <v>29</v>
      </c>
      <c r="BU25" s="58" t="s">
        <v>77</v>
      </c>
      <c r="BV25" s="58" t="s">
        <v>89</v>
      </c>
      <c r="BW25" s="58">
        <f>BW24+BW20*BW21%</f>
        <v>14.77</v>
      </c>
      <c r="BX25" s="59" t="s">
        <v>29</v>
      </c>
    </row>
    <row r="26" spans="2:76">
      <c r="B26" s="11"/>
      <c r="C26" s="12"/>
      <c r="D26" s="12"/>
      <c r="E26" s="163">
        <v>4</v>
      </c>
      <c r="F26" s="147"/>
      <c r="G26" s="499">
        <v>0.375</v>
      </c>
      <c r="H26" s="498"/>
      <c r="I26" s="485">
        <v>50</v>
      </c>
      <c r="J26" s="486"/>
      <c r="K26" s="489">
        <v>0.2</v>
      </c>
      <c r="L26" s="498"/>
      <c r="M26" s="489">
        <v>0.6</v>
      </c>
      <c r="N26" s="498"/>
      <c r="O26" s="485">
        <v>2</v>
      </c>
      <c r="P26" s="486"/>
      <c r="Q26" s="491">
        <v>19</v>
      </c>
      <c r="R26" s="492"/>
      <c r="S26" s="493"/>
      <c r="T26" s="491">
        <v>0.15</v>
      </c>
      <c r="U26" s="493"/>
      <c r="V26" s="494" t="s">
        <v>57</v>
      </c>
      <c r="W26" s="495"/>
      <c r="X26" s="495"/>
      <c r="Y26" s="495"/>
      <c r="Z26" s="495"/>
      <c r="AA26" s="495"/>
      <c r="AB26" s="495"/>
      <c r="AC26" s="495"/>
      <c r="AD26" s="495"/>
      <c r="AE26" s="495"/>
      <c r="AF26" s="491">
        <v>2</v>
      </c>
      <c r="AG26" s="496"/>
      <c r="AH26" s="12"/>
      <c r="AI26" s="20"/>
      <c r="AJ26" s="18"/>
      <c r="BC26" s="58" t="s">
        <v>62</v>
      </c>
      <c r="BD26" s="58">
        <v>1</v>
      </c>
      <c r="BF26" s="58">
        <v>6</v>
      </c>
      <c r="BG26" s="61">
        <f t="shared" si="1"/>
        <v>362</v>
      </c>
      <c r="BH26" s="58">
        <f t="shared" si="2"/>
        <v>19.412418888197994</v>
      </c>
      <c r="BI26" s="58">
        <f t="shared" si="3"/>
        <v>19.579549558367869</v>
      </c>
      <c r="BJ26" s="58">
        <f t="shared" si="0"/>
        <v>20</v>
      </c>
      <c r="BN26" s="58" t="s">
        <v>137</v>
      </c>
      <c r="BO26" s="58" t="s">
        <v>138</v>
      </c>
      <c r="BP26" s="58">
        <f>BP25-$BW$13^2/(2*9.81)</f>
        <v>13.971046623825282</v>
      </c>
      <c r="BQ26" s="58" t="s">
        <v>29</v>
      </c>
    </row>
    <row r="27" spans="2:76">
      <c r="B27" s="11"/>
      <c r="C27" s="12"/>
      <c r="D27" s="12"/>
      <c r="E27" s="163">
        <v>5</v>
      </c>
      <c r="F27" s="147"/>
      <c r="G27" s="499">
        <v>0.375</v>
      </c>
      <c r="H27" s="498"/>
      <c r="I27" s="485">
        <v>50</v>
      </c>
      <c r="J27" s="486"/>
      <c r="K27" s="489">
        <v>0.2</v>
      </c>
      <c r="L27" s="498"/>
      <c r="M27" s="489">
        <v>0.6</v>
      </c>
      <c r="N27" s="498"/>
      <c r="O27" s="485">
        <v>3</v>
      </c>
      <c r="P27" s="486"/>
      <c r="Q27" s="491">
        <v>20</v>
      </c>
      <c r="R27" s="492"/>
      <c r="S27" s="493"/>
      <c r="T27" s="491">
        <v>0.1</v>
      </c>
      <c r="U27" s="493"/>
      <c r="V27" s="494" t="s">
        <v>45</v>
      </c>
      <c r="W27" s="495"/>
      <c r="X27" s="495"/>
      <c r="Y27" s="495"/>
      <c r="Z27" s="495"/>
      <c r="AA27" s="495"/>
      <c r="AB27" s="495"/>
      <c r="AC27" s="495"/>
      <c r="AD27" s="495"/>
      <c r="AE27" s="495"/>
      <c r="AF27" s="491">
        <v>1</v>
      </c>
      <c r="AG27" s="496"/>
      <c r="AH27" s="12"/>
      <c r="AI27" s="20"/>
      <c r="AJ27" s="18"/>
      <c r="BF27" s="58">
        <v>7</v>
      </c>
      <c r="BG27" s="61">
        <f t="shared" si="1"/>
        <v>412</v>
      </c>
      <c r="BH27" s="58">
        <f t="shared" si="2"/>
        <v>20.071811645920036</v>
      </c>
      <c r="BI27" s="58">
        <f t="shared" si="3"/>
        <v>20.238942316089911</v>
      </c>
      <c r="BJ27" s="58">
        <f t="shared" si="0"/>
        <v>21</v>
      </c>
      <c r="BU27" s="58" t="s">
        <v>91</v>
      </c>
    </row>
    <row r="28" spans="2:76">
      <c r="B28" s="11"/>
      <c r="C28" s="12"/>
      <c r="D28" s="12"/>
      <c r="E28" s="163">
        <v>6</v>
      </c>
      <c r="F28" s="147"/>
      <c r="G28" s="499">
        <v>0.375</v>
      </c>
      <c r="H28" s="498"/>
      <c r="I28" s="485">
        <v>50</v>
      </c>
      <c r="J28" s="486"/>
      <c r="K28" s="489">
        <v>0.2</v>
      </c>
      <c r="L28" s="498"/>
      <c r="M28" s="489">
        <v>0.6</v>
      </c>
      <c r="N28" s="498"/>
      <c r="O28" s="485">
        <v>1</v>
      </c>
      <c r="P28" s="486"/>
      <c r="Q28" s="491">
        <v>21</v>
      </c>
      <c r="R28" s="492"/>
      <c r="S28" s="493"/>
      <c r="T28" s="491">
        <v>0.1</v>
      </c>
      <c r="U28" s="493"/>
      <c r="V28" s="494" t="s">
        <v>45</v>
      </c>
      <c r="W28" s="495"/>
      <c r="X28" s="495"/>
      <c r="Y28" s="495"/>
      <c r="Z28" s="495"/>
      <c r="AA28" s="495"/>
      <c r="AB28" s="495"/>
      <c r="AC28" s="495"/>
      <c r="AD28" s="495"/>
      <c r="AE28" s="495"/>
      <c r="AF28" s="491">
        <v>1</v>
      </c>
      <c r="AG28" s="496"/>
      <c r="AH28" s="12"/>
      <c r="AI28" s="12"/>
      <c r="AJ28" s="18"/>
      <c r="BF28" s="58">
        <v>8</v>
      </c>
      <c r="BG28" s="61">
        <f t="shared" si="1"/>
        <v>462</v>
      </c>
      <c r="BH28" s="58">
        <f t="shared" si="2"/>
        <v>20.731204403642078</v>
      </c>
      <c r="BI28" s="58">
        <f t="shared" si="3"/>
        <v>20.898335073811953</v>
      </c>
      <c r="BJ28" s="58">
        <f t="shared" si="0"/>
        <v>22</v>
      </c>
      <c r="BN28" s="58" t="s">
        <v>141</v>
      </c>
      <c r="BU28" s="58" t="s">
        <v>70</v>
      </c>
      <c r="BV28" s="58" t="s">
        <v>82</v>
      </c>
      <c r="BW28" s="60">
        <f>$G$25</f>
        <v>0.45</v>
      </c>
      <c r="BX28" s="59" t="s">
        <v>29</v>
      </c>
    </row>
    <row r="29" spans="2:76">
      <c r="B29" s="11"/>
      <c r="C29" s="12"/>
      <c r="D29" s="12"/>
      <c r="E29" s="163">
        <v>7</v>
      </c>
      <c r="F29" s="147"/>
      <c r="G29" s="499">
        <v>0.375</v>
      </c>
      <c r="H29" s="498"/>
      <c r="I29" s="485">
        <v>50</v>
      </c>
      <c r="J29" s="486"/>
      <c r="K29" s="489">
        <v>0.2</v>
      </c>
      <c r="L29" s="498"/>
      <c r="M29" s="489">
        <v>0.6</v>
      </c>
      <c r="N29" s="498"/>
      <c r="O29" s="485">
        <v>1</v>
      </c>
      <c r="P29" s="486"/>
      <c r="Q29" s="491">
        <v>22</v>
      </c>
      <c r="R29" s="492"/>
      <c r="S29" s="493"/>
      <c r="T29" s="491">
        <v>0.2</v>
      </c>
      <c r="U29" s="493"/>
      <c r="V29" s="494" t="s">
        <v>45</v>
      </c>
      <c r="W29" s="495"/>
      <c r="X29" s="495"/>
      <c r="Y29" s="495"/>
      <c r="Z29" s="495"/>
      <c r="AA29" s="495"/>
      <c r="AB29" s="495"/>
      <c r="AC29" s="495"/>
      <c r="AD29" s="495"/>
      <c r="AE29" s="495"/>
      <c r="AF29" s="491">
        <v>1</v>
      </c>
      <c r="AG29" s="496"/>
      <c r="AH29" s="12"/>
      <c r="AI29" s="12"/>
      <c r="AJ29" s="18"/>
      <c r="BC29" s="58" t="s">
        <v>68</v>
      </c>
      <c r="BD29" s="58">
        <v>1</v>
      </c>
      <c r="BF29" s="58">
        <v>9</v>
      </c>
      <c r="BG29" s="61">
        <f t="shared" si="1"/>
        <v>512</v>
      </c>
      <c r="BH29" s="58">
        <f t="shared" si="2"/>
        <v>21.39059716136412</v>
      </c>
      <c r="BI29" s="58">
        <f t="shared" si="3"/>
        <v>21.557727831533995</v>
      </c>
      <c r="BJ29" s="58">
        <f t="shared" si="0"/>
        <v>23</v>
      </c>
      <c r="BN29" s="58" t="s">
        <v>113</v>
      </c>
      <c r="BO29" s="58" t="s">
        <v>115</v>
      </c>
      <c r="BP29" s="63">
        <f>$AF$23</f>
        <v>1</v>
      </c>
      <c r="BU29" s="58" t="s">
        <v>71</v>
      </c>
      <c r="BV29" s="58" t="s">
        <v>83</v>
      </c>
      <c r="BW29" s="58">
        <f>PI()*(BW28/2)^2</f>
        <v>0.15904312808798329</v>
      </c>
      <c r="BX29" s="59" t="s">
        <v>78</v>
      </c>
    </row>
    <row r="30" spans="2:76">
      <c r="B30" s="11"/>
      <c r="C30" s="12"/>
      <c r="D30" s="12"/>
      <c r="E30" s="163">
        <v>8</v>
      </c>
      <c r="F30" s="147"/>
      <c r="G30" s="462">
        <v>0.375</v>
      </c>
      <c r="H30" s="461"/>
      <c r="I30" s="128">
        <v>50</v>
      </c>
      <c r="J30" s="129"/>
      <c r="K30" s="115">
        <v>0.2</v>
      </c>
      <c r="L30" s="461"/>
      <c r="M30" s="115">
        <v>0.6</v>
      </c>
      <c r="N30" s="461"/>
      <c r="O30" s="128">
        <v>1</v>
      </c>
      <c r="P30" s="129"/>
      <c r="Q30" s="122">
        <v>23</v>
      </c>
      <c r="R30" s="125"/>
      <c r="S30" s="123"/>
      <c r="T30" s="122">
        <v>0.3</v>
      </c>
      <c r="U30" s="123"/>
      <c r="V30" s="262" t="s">
        <v>45</v>
      </c>
      <c r="W30" s="263"/>
      <c r="X30" s="263"/>
      <c r="Y30" s="263"/>
      <c r="Z30" s="263"/>
      <c r="AA30" s="263"/>
      <c r="AB30" s="263"/>
      <c r="AC30" s="263"/>
      <c r="AD30" s="263"/>
      <c r="AE30" s="263"/>
      <c r="AF30" s="122">
        <v>1</v>
      </c>
      <c r="AG30" s="276"/>
      <c r="AH30" s="12"/>
      <c r="AI30" s="12"/>
      <c r="AJ30" s="18"/>
      <c r="BC30" s="58" t="s">
        <v>60</v>
      </c>
      <c r="BD30" s="58">
        <v>0.15</v>
      </c>
      <c r="BF30" s="58">
        <v>10</v>
      </c>
      <c r="BG30" s="61">
        <f t="shared" si="1"/>
        <v>562</v>
      </c>
      <c r="BH30" s="58">
        <f t="shared" si="2"/>
        <v>22.049989919086162</v>
      </c>
      <c r="BI30" s="58">
        <f t="shared" si="3"/>
        <v>22.217120589256037</v>
      </c>
      <c r="BJ30" s="58">
        <f t="shared" si="0"/>
        <v>24</v>
      </c>
      <c r="BN30" s="58" t="s">
        <v>114</v>
      </c>
      <c r="BO30" s="58" t="s">
        <v>116</v>
      </c>
      <c r="BP30" s="58">
        <f>BP29*($BW$13^2/(2*9.81))</f>
        <v>0.35862351215574306</v>
      </c>
      <c r="BU30" s="58" t="s">
        <v>72</v>
      </c>
      <c r="BV30" s="58" t="s">
        <v>84</v>
      </c>
      <c r="BW30" s="61">
        <f>$I$25</f>
        <v>75</v>
      </c>
      <c r="BX30" s="59" t="s">
        <v>29</v>
      </c>
    </row>
    <row r="31" spans="2:76">
      <c r="B31" s="11"/>
      <c r="C31" s="12"/>
      <c r="D31" s="12"/>
      <c r="E31" s="163">
        <v>9</v>
      </c>
      <c r="F31" s="147"/>
      <c r="G31" s="462">
        <v>0.375</v>
      </c>
      <c r="H31" s="461"/>
      <c r="I31" s="128">
        <v>50</v>
      </c>
      <c r="J31" s="129"/>
      <c r="K31" s="115">
        <v>0.2</v>
      </c>
      <c r="L31" s="461"/>
      <c r="M31" s="115">
        <v>0.6</v>
      </c>
      <c r="N31" s="461"/>
      <c r="O31" s="128">
        <v>1</v>
      </c>
      <c r="P31" s="129"/>
      <c r="Q31" s="122">
        <v>24</v>
      </c>
      <c r="R31" s="125"/>
      <c r="S31" s="123"/>
      <c r="T31" s="122">
        <v>0.4</v>
      </c>
      <c r="U31" s="123"/>
      <c r="V31" s="262" t="s">
        <v>45</v>
      </c>
      <c r="W31" s="263"/>
      <c r="X31" s="263"/>
      <c r="Y31" s="263"/>
      <c r="Z31" s="263"/>
      <c r="AA31" s="263"/>
      <c r="AB31" s="263"/>
      <c r="AC31" s="263"/>
      <c r="AD31" s="263"/>
      <c r="AE31" s="263"/>
      <c r="AF31" s="122">
        <v>1</v>
      </c>
      <c r="AG31" s="276"/>
      <c r="AH31" s="12"/>
      <c r="AI31" s="12"/>
      <c r="AJ31" s="18"/>
      <c r="BC31" s="58" t="s">
        <v>61</v>
      </c>
      <c r="BD31" s="58">
        <v>6</v>
      </c>
      <c r="BF31" s="58">
        <v>11</v>
      </c>
      <c r="BG31" s="61">
        <f t="shared" si="1"/>
        <v>612</v>
      </c>
      <c r="BH31" s="58">
        <f t="shared" si="2"/>
        <v>22.709382676808204</v>
      </c>
      <c r="BI31" s="58">
        <f t="shared" si="3"/>
        <v>22.876513346978079</v>
      </c>
      <c r="BJ31" s="58">
        <f t="shared" si="0"/>
        <v>25</v>
      </c>
      <c r="BN31" s="58" t="s">
        <v>117</v>
      </c>
      <c r="BO31" s="58" t="s">
        <v>118</v>
      </c>
      <c r="BP31" s="58">
        <f>BP26+BP30</f>
        <v>14.329670135981026</v>
      </c>
      <c r="BQ31" s="58" t="s">
        <v>29</v>
      </c>
      <c r="BU31" s="58" t="s">
        <v>73</v>
      </c>
      <c r="BV31" s="58" t="s">
        <v>85</v>
      </c>
      <c r="BW31" s="61">
        <f>$O$25</f>
        <v>1</v>
      </c>
      <c r="BX31" s="59" t="s">
        <v>80</v>
      </c>
    </row>
    <row r="32" spans="2:76" ht="15" thickBot="1">
      <c r="B32" s="11"/>
      <c r="C32" s="12"/>
      <c r="D32" s="12"/>
      <c r="E32" s="165">
        <v>10</v>
      </c>
      <c r="F32" s="153"/>
      <c r="G32" s="460">
        <v>0.375</v>
      </c>
      <c r="H32" s="118"/>
      <c r="I32" s="107">
        <v>50</v>
      </c>
      <c r="J32" s="108"/>
      <c r="K32" s="117">
        <v>0.2</v>
      </c>
      <c r="L32" s="118"/>
      <c r="M32" s="117">
        <v>0.6</v>
      </c>
      <c r="N32" s="118"/>
      <c r="O32" s="107">
        <v>1</v>
      </c>
      <c r="P32" s="108"/>
      <c r="Q32" s="97">
        <v>25</v>
      </c>
      <c r="R32" s="119"/>
      <c r="S32" s="98"/>
      <c r="T32" s="97">
        <v>0.1</v>
      </c>
      <c r="U32" s="98"/>
      <c r="V32" s="293" t="s">
        <v>45</v>
      </c>
      <c r="W32" s="294"/>
      <c r="X32" s="294"/>
      <c r="Y32" s="294"/>
      <c r="Z32" s="294"/>
      <c r="AA32" s="294"/>
      <c r="AB32" s="294"/>
      <c r="AC32" s="294"/>
      <c r="AD32" s="294"/>
      <c r="AE32" s="295"/>
      <c r="AF32" s="97">
        <v>1</v>
      </c>
      <c r="AG32" s="310"/>
      <c r="AH32" s="12"/>
      <c r="AI32" s="12"/>
      <c r="AJ32" s="18"/>
      <c r="BC32" s="58" t="s">
        <v>58</v>
      </c>
      <c r="BH32" s="58" t="s">
        <v>171</v>
      </c>
      <c r="BI32" s="58" t="s">
        <v>172</v>
      </c>
      <c r="BJ32" s="58" t="s">
        <v>163</v>
      </c>
      <c r="BK32" s="58" t="s">
        <v>119</v>
      </c>
      <c r="BN32" s="58" t="s">
        <v>120</v>
      </c>
      <c r="BO32" s="58" t="s">
        <v>121</v>
      </c>
      <c r="BP32" s="58">
        <f>BP31+(IF($G$24="",$BW$13,$BW$23)^2/(2*9.81))</f>
        <v>14.601579415594136</v>
      </c>
      <c r="BQ32" s="58" t="s">
        <v>29</v>
      </c>
      <c r="BU32" s="58" t="s">
        <v>74</v>
      </c>
      <c r="BV32" s="58" t="s">
        <v>86</v>
      </c>
      <c r="BW32" s="60">
        <f>$K$25</f>
        <v>0.5</v>
      </c>
      <c r="BX32" s="59" t="s">
        <v>79</v>
      </c>
    </row>
    <row r="33" spans="2:76">
      <c r="B33" s="11"/>
      <c r="C33" s="12"/>
      <c r="D33" s="12"/>
      <c r="E33" s="12"/>
      <c r="F33" s="13"/>
      <c r="G33" s="6"/>
      <c r="H33" s="4"/>
      <c r="I33" s="4"/>
      <c r="J33" s="4"/>
      <c r="K33" s="4"/>
      <c r="L33" s="4"/>
      <c r="M33" s="4"/>
      <c r="N33" s="4"/>
      <c r="O33" s="4"/>
      <c r="P33" s="4"/>
      <c r="Q33" s="4"/>
      <c r="R33" s="4"/>
      <c r="S33" s="4"/>
      <c r="T33" s="4"/>
      <c r="U33" s="4"/>
      <c r="V33" s="4"/>
      <c r="W33" s="4"/>
      <c r="X33" s="4"/>
      <c r="Y33" s="4"/>
      <c r="Z33" s="4"/>
      <c r="AA33" s="4"/>
      <c r="AB33" s="4"/>
      <c r="AC33" s="4"/>
      <c r="AD33" s="4"/>
      <c r="AE33" s="8"/>
      <c r="AF33" s="9"/>
      <c r="AG33" s="4"/>
      <c r="AH33" s="12"/>
      <c r="AI33" s="12"/>
      <c r="AJ33" s="18"/>
      <c r="BF33" s="58">
        <v>1</v>
      </c>
      <c r="BG33" s="58">
        <f>BG21</f>
        <v>0</v>
      </c>
      <c r="BH33" s="58">
        <f>Y18</f>
        <v>13</v>
      </c>
      <c r="BI33" s="60">
        <f>BH33+G23</f>
        <v>13.6</v>
      </c>
      <c r="BJ33" s="60">
        <f>BH21</f>
        <v>12.95</v>
      </c>
      <c r="BK33" s="60">
        <f>BI21</f>
        <v>13.308623512155743</v>
      </c>
      <c r="BU33" s="58" t="s">
        <v>75</v>
      </c>
      <c r="BV33" s="58" t="s">
        <v>87</v>
      </c>
      <c r="BW33" s="58">
        <f>BW32/BW29</f>
        <v>3.1438013450250928</v>
      </c>
      <c r="BX33" s="59" t="s">
        <v>81</v>
      </c>
    </row>
    <row r="34" spans="2:76">
      <c r="B34" s="11"/>
      <c r="C34" s="12"/>
      <c r="D34" s="12"/>
      <c r="E34" s="12"/>
      <c r="F34" s="13"/>
      <c r="G34" s="20"/>
      <c r="H34" s="24" t="s">
        <v>161</v>
      </c>
      <c r="I34" s="19"/>
      <c r="J34" s="19"/>
      <c r="K34" s="19"/>
      <c r="L34" s="19"/>
      <c r="M34" s="19"/>
      <c r="N34" s="19"/>
      <c r="O34" s="19"/>
      <c r="P34" s="19"/>
      <c r="Q34" s="19"/>
      <c r="R34" s="19"/>
      <c r="S34" s="19"/>
      <c r="T34" s="19"/>
      <c r="U34" s="19"/>
      <c r="V34" s="12"/>
      <c r="W34" s="12"/>
      <c r="X34" s="12"/>
      <c r="Y34" s="12"/>
      <c r="Z34" s="12"/>
      <c r="AA34" s="12"/>
      <c r="AB34" s="12"/>
      <c r="AC34" s="12"/>
      <c r="AD34" s="12"/>
      <c r="AE34" s="16"/>
      <c r="AF34" s="17"/>
      <c r="AG34" s="12"/>
      <c r="AH34" s="12"/>
      <c r="AI34" s="12"/>
      <c r="AJ34" s="18"/>
      <c r="BG34" s="58">
        <f>BG33</f>
        <v>0</v>
      </c>
      <c r="BH34" s="58">
        <f>BH33</f>
        <v>13</v>
      </c>
      <c r="BI34" s="60">
        <f>BI33</f>
        <v>13.6</v>
      </c>
      <c r="BJ34" s="60">
        <f>BJ33</f>
        <v>12.95</v>
      </c>
      <c r="BK34" s="60">
        <f>BK33</f>
        <v>13.308623512155743</v>
      </c>
      <c r="BN34" s="58" t="s">
        <v>142</v>
      </c>
      <c r="BU34" s="58" t="s">
        <v>76</v>
      </c>
      <c r="BV34" s="58" t="s">
        <v>88</v>
      </c>
      <c r="BW34" s="63">
        <f>BW25+$T$24</f>
        <v>14.969999999999999</v>
      </c>
      <c r="BX34" s="59" t="s">
        <v>29</v>
      </c>
    </row>
    <row r="35" spans="2:76" ht="15" thickBot="1">
      <c r="B35" s="11"/>
      <c r="C35" s="12"/>
      <c r="D35" s="12"/>
      <c r="E35" s="12"/>
      <c r="F35" s="13"/>
      <c r="G35" s="20"/>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c r="BF35" s="58">
        <v>2</v>
      </c>
      <c r="BG35" s="58">
        <f>BG22</f>
        <v>87</v>
      </c>
      <c r="BH35" s="58">
        <f>BH34+I23*O23%</f>
        <v>13.87</v>
      </c>
      <c r="BI35" s="60">
        <f>BH35+G24</f>
        <v>14.395</v>
      </c>
      <c r="BJ35" s="58">
        <f>IF(G23="",BJ34,M39-K39)</f>
        <v>13.971046623825282</v>
      </c>
      <c r="BK35" s="58">
        <f>IF(G23="",BK34,P39-K39)</f>
        <v>14.242955903438393</v>
      </c>
      <c r="BN35" s="58" t="s">
        <v>123</v>
      </c>
      <c r="BO35" s="58" t="s">
        <v>124</v>
      </c>
      <c r="BP35" s="60">
        <f>$M$24*10^-3</f>
        <v>5.9999999999999995E-4</v>
      </c>
      <c r="BQ35" s="58" t="s">
        <v>64</v>
      </c>
      <c r="BU35" s="58" t="s">
        <v>77</v>
      </c>
      <c r="BV35" s="58" t="s">
        <v>89</v>
      </c>
      <c r="BW35" s="58">
        <f>BW34+BW30*BW31%</f>
        <v>15.719999999999999</v>
      </c>
      <c r="BX35" s="59" t="s">
        <v>29</v>
      </c>
    </row>
    <row r="36" spans="2:76">
      <c r="B36" s="11"/>
      <c r="C36" s="12"/>
      <c r="D36" s="12"/>
      <c r="E36" s="12"/>
      <c r="F36" s="13"/>
      <c r="G36" s="20"/>
      <c r="H36" s="270" t="s">
        <v>160</v>
      </c>
      <c r="I36" s="341"/>
      <c r="J36" s="271"/>
      <c r="K36" s="317" t="s">
        <v>162</v>
      </c>
      <c r="L36" s="304"/>
      <c r="M36" s="109" t="s">
        <v>163</v>
      </c>
      <c r="N36" s="110"/>
      <c r="O36" s="111"/>
      <c r="P36" s="109" t="s">
        <v>119</v>
      </c>
      <c r="Q36" s="110"/>
      <c r="R36" s="111"/>
      <c r="S36" s="257" t="s">
        <v>43</v>
      </c>
      <c r="T36" s="313"/>
      <c r="U36" s="258"/>
      <c r="V36" s="20"/>
      <c r="W36" s="12"/>
      <c r="X36" s="12"/>
      <c r="Y36" s="12"/>
      <c r="Z36" s="12"/>
      <c r="AA36" s="12"/>
      <c r="AB36" s="12"/>
      <c r="AC36" s="12"/>
      <c r="AD36" s="12"/>
      <c r="AE36" s="16"/>
      <c r="AF36" s="17"/>
      <c r="AG36" s="12"/>
      <c r="AH36" s="12"/>
      <c r="AI36" s="12"/>
      <c r="AJ36" s="18"/>
      <c r="BG36" s="58">
        <f>BG35</f>
        <v>87</v>
      </c>
      <c r="BH36" s="63">
        <f>BH35+T23</f>
        <v>13.969999999999999</v>
      </c>
      <c r="BI36" s="60">
        <f>BI35+T23</f>
        <v>14.494999999999999</v>
      </c>
      <c r="BJ36" s="58">
        <f>IF(G23="",BJ35,M39)</f>
        <v>14.329670135981026</v>
      </c>
      <c r="BK36" s="58">
        <f>IF(G23="",BK35,P39)</f>
        <v>14.601579415594136</v>
      </c>
      <c r="BN36" s="58" t="s">
        <v>125</v>
      </c>
      <c r="BO36" s="58" t="s">
        <v>126</v>
      </c>
      <c r="BP36" s="58">
        <f>1.31*10^-6</f>
        <v>1.31E-6</v>
      </c>
      <c r="BQ36" s="58" t="s">
        <v>139</v>
      </c>
    </row>
    <row r="37" spans="2:76" ht="15" thickBot="1">
      <c r="B37" s="11"/>
      <c r="C37" s="12"/>
      <c r="D37" s="12"/>
      <c r="E37" s="12"/>
      <c r="F37" s="13"/>
      <c r="G37" s="20"/>
      <c r="H37" s="272"/>
      <c r="I37" s="342"/>
      <c r="J37" s="273"/>
      <c r="K37" s="312"/>
      <c r="L37" s="305"/>
      <c r="M37" s="112"/>
      <c r="N37" s="113"/>
      <c r="O37" s="114"/>
      <c r="P37" s="112"/>
      <c r="Q37" s="113"/>
      <c r="R37" s="114"/>
      <c r="S37" s="259"/>
      <c r="T37" s="312"/>
      <c r="U37" s="260"/>
      <c r="V37" s="20"/>
      <c r="W37" s="12"/>
      <c r="X37" s="12"/>
      <c r="Y37" s="12"/>
      <c r="Z37" s="12"/>
      <c r="AA37" s="12"/>
      <c r="AB37" s="12"/>
      <c r="AC37" s="12"/>
      <c r="AD37" s="12"/>
      <c r="AE37" s="16"/>
      <c r="AF37" s="17"/>
      <c r="AG37" s="12"/>
      <c r="AH37" s="12"/>
      <c r="AI37" s="12"/>
      <c r="AJ37" s="18"/>
      <c r="BF37" s="58">
        <v>3</v>
      </c>
      <c r="BG37" s="58">
        <f>BG23</f>
        <v>187</v>
      </c>
      <c r="BH37" s="58">
        <f>BH36+I24*O24%</f>
        <v>14.77</v>
      </c>
      <c r="BI37" s="60">
        <f>BH37+G25</f>
        <v>15.219999999999999</v>
      </c>
      <c r="BJ37" s="58">
        <f>IF(G24="",BJ36,M40-K40)</f>
        <v>15.380507447590777</v>
      </c>
      <c r="BK37" s="58">
        <f>IF(G24="",BK36,P40-K40)</f>
        <v>15.88425295712093</v>
      </c>
      <c r="BN37" s="58" t="s">
        <v>127</v>
      </c>
      <c r="BO37" s="58" t="s">
        <v>128</v>
      </c>
      <c r="BP37" s="58">
        <f>($BW$23*$BW$18/BP36)</f>
        <v>925655.79406409524</v>
      </c>
      <c r="BU37" s="58" t="s">
        <v>92</v>
      </c>
    </row>
    <row r="38" spans="2:76">
      <c r="B38" s="11"/>
      <c r="C38" s="12"/>
      <c r="D38" s="12"/>
      <c r="E38" s="12"/>
      <c r="F38" s="13"/>
      <c r="G38" s="20"/>
      <c r="H38" s="223">
        <v>1</v>
      </c>
      <c r="I38" s="238"/>
      <c r="J38" s="224"/>
      <c r="K38" s="99">
        <f>IF(Y19="","",BP14)</f>
        <v>0.35862351215574306</v>
      </c>
      <c r="L38" s="100"/>
      <c r="M38" s="325">
        <f>IF(Y19="","",BP15)</f>
        <v>12.95</v>
      </c>
      <c r="N38" s="326"/>
      <c r="O38" s="327"/>
      <c r="P38" s="325">
        <f>IF(Y19="","",BP16)</f>
        <v>13.308623512155743</v>
      </c>
      <c r="Q38" s="326"/>
      <c r="R38" s="327"/>
      <c r="S38" s="325">
        <f>IF(Y19="","",Y19)</f>
        <v>15</v>
      </c>
      <c r="T38" s="326"/>
      <c r="U38" s="328"/>
      <c r="V38" s="20"/>
      <c r="W38" s="12"/>
      <c r="X38" s="12"/>
      <c r="Y38" s="12"/>
      <c r="Z38" s="12"/>
      <c r="AA38" s="12"/>
      <c r="AB38" s="12"/>
      <c r="AC38" s="12"/>
      <c r="AD38" s="12"/>
      <c r="AE38" s="16"/>
      <c r="AF38" s="314" t="str">
        <f>IF(K38="","",IF(M38&lt;S38-Y11,"Acceptable","HGL Too High"))</f>
        <v>Acceptable</v>
      </c>
      <c r="AG38" s="332"/>
      <c r="AH38" s="332"/>
      <c r="AI38" s="332"/>
      <c r="AJ38" s="333"/>
      <c r="BG38" s="58">
        <f>BG37</f>
        <v>187</v>
      </c>
      <c r="BH38" s="63">
        <f>BH37+T24</f>
        <v>14.969999999999999</v>
      </c>
      <c r="BI38" s="60">
        <f>BI37+T24</f>
        <v>15.419999999999998</v>
      </c>
      <c r="BJ38" s="58">
        <f>IF(G24="",BJ37,M40)</f>
        <v>15.652416727203887</v>
      </c>
      <c r="BK38" s="58">
        <f>IF(G24="",BK37,P40)</f>
        <v>16.156162236734041</v>
      </c>
      <c r="BN38" s="58" t="s">
        <v>129</v>
      </c>
      <c r="BO38" s="58" t="s">
        <v>130</v>
      </c>
      <c r="BP38" s="58">
        <f>(1/(-2*LOG10((BP35/(3.7*$BW$18)))+(5.1286/BP37^0.89)))^2</f>
        <v>2.0289472627785937E-2</v>
      </c>
      <c r="BQ38" s="62"/>
      <c r="BU38" s="58" t="s">
        <v>70</v>
      </c>
      <c r="BV38" s="58" t="s">
        <v>82</v>
      </c>
      <c r="BW38" s="60">
        <f>$G$26</f>
        <v>0.375</v>
      </c>
      <c r="BX38" s="59" t="s">
        <v>29</v>
      </c>
    </row>
    <row r="39" spans="2:76">
      <c r="B39" s="11"/>
      <c r="C39" s="12"/>
      <c r="D39" s="12"/>
      <c r="E39" s="12"/>
      <c r="F39" s="13"/>
      <c r="G39" s="20"/>
      <c r="H39" s="163">
        <v>2</v>
      </c>
      <c r="I39" s="146"/>
      <c r="J39" s="147"/>
      <c r="K39" s="101">
        <f>IF(G23="","",BP30)</f>
        <v>0.35862351215574306</v>
      </c>
      <c r="L39" s="102"/>
      <c r="M39" s="103">
        <f>IF(G23="","",BP31)</f>
        <v>14.329670135981026</v>
      </c>
      <c r="N39" s="104"/>
      <c r="O39" s="105"/>
      <c r="P39" s="103">
        <f>IF(G23="","",BP32)</f>
        <v>14.601579415594136</v>
      </c>
      <c r="Q39" s="104"/>
      <c r="R39" s="105"/>
      <c r="S39" s="103">
        <f t="shared" ref="S39:S48" si="4">IF(G23="","",Q23)</f>
        <v>17</v>
      </c>
      <c r="T39" s="104"/>
      <c r="U39" s="106"/>
      <c r="V39" s="20"/>
      <c r="W39" s="12"/>
      <c r="X39" s="12"/>
      <c r="Y39" s="12"/>
      <c r="Z39" s="12"/>
      <c r="AA39" s="12"/>
      <c r="AB39" s="12"/>
      <c r="AC39" s="12"/>
      <c r="AD39" s="12"/>
      <c r="AE39" s="16"/>
      <c r="AF39" s="314" t="str">
        <f t="shared" ref="AF39:AF48" si="5">IF(K39="","",IF(M39&lt;S39-$Y$11,"Acceptable","HGL Too High"))</f>
        <v>Acceptable</v>
      </c>
      <c r="AG39" s="315"/>
      <c r="AH39" s="315"/>
      <c r="AI39" s="315"/>
      <c r="AJ39" s="316"/>
      <c r="BF39" s="58">
        <v>4</v>
      </c>
      <c r="BG39" s="58">
        <f>BG24</f>
        <v>262</v>
      </c>
      <c r="BH39" s="58">
        <f>BH38+I25*O25%</f>
        <v>15.719999999999999</v>
      </c>
      <c r="BI39" s="60">
        <f>BH39+G26</f>
        <v>16.094999999999999</v>
      </c>
      <c r="BJ39" s="58">
        <f>IF(G25="",BJ38,M41-K41)</f>
        <v>17.422757193053883</v>
      </c>
      <c r="BK39" s="58">
        <f>IF(G25="",BK38,P41-K41)</f>
        <v>17.589887863223758</v>
      </c>
      <c r="BN39" s="58" t="s">
        <v>131</v>
      </c>
      <c r="BO39" s="58" t="s">
        <v>132</v>
      </c>
      <c r="BP39" s="58">
        <f>BP38*$BW$23^2/(2*9.81*$BW$18)</f>
        <v>1.0508373116097503E-2</v>
      </c>
      <c r="BQ39" s="58" t="s">
        <v>29</v>
      </c>
      <c r="BU39" s="58" t="s">
        <v>71</v>
      </c>
      <c r="BV39" s="58" t="s">
        <v>83</v>
      </c>
      <c r="BW39" s="58">
        <f>PI()*(BW38/2)^2</f>
        <v>0.11044661672776616</v>
      </c>
      <c r="BX39" s="59" t="s">
        <v>78</v>
      </c>
    </row>
    <row r="40" spans="2:76">
      <c r="B40" s="11"/>
      <c r="C40" s="12"/>
      <c r="D40" s="12"/>
      <c r="E40" s="12"/>
      <c r="F40" s="13"/>
      <c r="G40" s="20"/>
      <c r="H40" s="163">
        <v>3</v>
      </c>
      <c r="I40" s="146"/>
      <c r="J40" s="147"/>
      <c r="K40" s="101">
        <f>IF(G24="","",BP46)</f>
        <v>0.27190927961311007</v>
      </c>
      <c r="L40" s="102"/>
      <c r="M40" s="103">
        <f>IF(G24="","",BP47)</f>
        <v>15.652416727203887</v>
      </c>
      <c r="N40" s="104"/>
      <c r="O40" s="105"/>
      <c r="P40" s="103">
        <f>IF(G24="","",BP48)</f>
        <v>16.156162236734041</v>
      </c>
      <c r="Q40" s="104"/>
      <c r="R40" s="105"/>
      <c r="S40" s="103">
        <f t="shared" si="4"/>
        <v>18</v>
      </c>
      <c r="T40" s="104"/>
      <c r="U40" s="106"/>
      <c r="V40" s="20"/>
      <c r="W40" s="12"/>
      <c r="X40" s="12"/>
      <c r="Y40" s="12"/>
      <c r="Z40" s="12"/>
      <c r="AA40" s="12"/>
      <c r="AB40" s="12"/>
      <c r="AC40" s="12"/>
      <c r="AD40" s="12"/>
      <c r="AE40" s="16"/>
      <c r="AF40" s="314" t="str">
        <f t="shared" si="5"/>
        <v>Acceptable</v>
      </c>
      <c r="AG40" s="315"/>
      <c r="AH40" s="315"/>
      <c r="AI40" s="315"/>
      <c r="AJ40" s="316"/>
      <c r="BG40" s="58">
        <f>BG39</f>
        <v>262</v>
      </c>
      <c r="BH40" s="63">
        <f>BH39+T25</f>
        <v>15.819999999999999</v>
      </c>
      <c r="BI40" s="60">
        <f>BI39+T25</f>
        <v>16.195</v>
      </c>
      <c r="BJ40" s="58">
        <f>IF(G25="",BJ39,M41)</f>
        <v>17.926502702584035</v>
      </c>
      <c r="BK40" s="58">
        <f>IF(G25="",BK39,P41)</f>
        <v>18.09363337275391</v>
      </c>
      <c r="BN40" s="58" t="s">
        <v>133</v>
      </c>
      <c r="BO40" s="58" t="s">
        <v>134</v>
      </c>
      <c r="BP40" s="58">
        <f>BP39*$BW$20</f>
        <v>1.0508373116097502</v>
      </c>
      <c r="BQ40" s="58" t="s">
        <v>29</v>
      </c>
      <c r="BU40" s="58" t="s">
        <v>72</v>
      </c>
      <c r="BV40" s="58" t="s">
        <v>84</v>
      </c>
      <c r="BW40" s="61">
        <f>$I$26</f>
        <v>50</v>
      </c>
      <c r="BX40" s="59" t="s">
        <v>29</v>
      </c>
    </row>
    <row r="41" spans="2:76">
      <c r="B41" s="11"/>
      <c r="C41" s="12"/>
      <c r="D41" s="12"/>
      <c r="E41" s="12"/>
      <c r="F41" s="13"/>
      <c r="G41" s="20"/>
      <c r="H41" s="163">
        <v>4</v>
      </c>
      <c r="I41" s="146"/>
      <c r="J41" s="147"/>
      <c r="K41" s="101">
        <f>IF(G25="","",BP62)</f>
        <v>0.50374550953015196</v>
      </c>
      <c r="L41" s="102"/>
      <c r="M41" s="103">
        <f>IF(G25="","",BP63)</f>
        <v>17.926502702584035</v>
      </c>
      <c r="N41" s="104"/>
      <c r="O41" s="105"/>
      <c r="P41" s="103">
        <f>IF(G25="","",BP64)</f>
        <v>18.09363337275391</v>
      </c>
      <c r="Q41" s="104"/>
      <c r="R41" s="105"/>
      <c r="S41" s="103">
        <f t="shared" si="4"/>
        <v>18.5</v>
      </c>
      <c r="T41" s="104"/>
      <c r="U41" s="106"/>
      <c r="V41" s="20"/>
      <c r="W41" s="12"/>
      <c r="X41" s="12"/>
      <c r="Y41" s="12"/>
      <c r="Z41" s="12"/>
      <c r="AA41" s="12"/>
      <c r="AB41" s="12"/>
      <c r="AC41" s="12"/>
      <c r="AD41" s="12"/>
      <c r="AE41" s="16"/>
      <c r="AF41" s="314" t="str">
        <f t="shared" si="5"/>
        <v>Acceptable</v>
      </c>
      <c r="AG41" s="315"/>
      <c r="AH41" s="315"/>
      <c r="AI41" s="315"/>
      <c r="AJ41" s="316"/>
      <c r="BF41" s="58">
        <v>5</v>
      </c>
      <c r="BG41" s="58">
        <f>BG25</f>
        <v>312</v>
      </c>
      <c r="BH41" s="58">
        <f>BH40+I26*O26%</f>
        <v>16.82</v>
      </c>
      <c r="BI41" s="60">
        <f>BH41+G27</f>
        <v>17.195</v>
      </c>
      <c r="BJ41" s="58">
        <f>IF(G26="",BJ40,M42-K42)</f>
        <v>18.418764790136201</v>
      </c>
      <c r="BK41" s="58">
        <f>IF(G26="",BK40,P42-K42)</f>
        <v>18.585895460306077</v>
      </c>
      <c r="BN41" s="58" t="s">
        <v>135</v>
      </c>
      <c r="BO41" s="58" t="s">
        <v>136</v>
      </c>
      <c r="BP41" s="58">
        <f>BP32+BP40</f>
        <v>15.652416727203887</v>
      </c>
      <c r="BQ41" s="58" t="s">
        <v>29</v>
      </c>
      <c r="BU41" s="58" t="s">
        <v>73</v>
      </c>
      <c r="BV41" s="58" t="s">
        <v>85</v>
      </c>
      <c r="BW41" s="61">
        <f>$O$26</f>
        <v>2</v>
      </c>
      <c r="BX41" s="59" t="s">
        <v>80</v>
      </c>
    </row>
    <row r="42" spans="2:76">
      <c r="B42" s="11"/>
      <c r="C42" s="12"/>
      <c r="D42" s="12"/>
      <c r="E42" s="12"/>
      <c r="F42" s="13"/>
      <c r="G42" s="20"/>
      <c r="H42" s="163">
        <v>5</v>
      </c>
      <c r="I42" s="146"/>
      <c r="J42" s="147"/>
      <c r="K42" s="101">
        <f>IF(G26="","",BP78)</f>
        <v>0.33426134033975152</v>
      </c>
      <c r="L42" s="102"/>
      <c r="M42" s="103">
        <f>IF(G26="","",BP79)</f>
        <v>18.753026130475952</v>
      </c>
      <c r="N42" s="104"/>
      <c r="O42" s="105"/>
      <c r="P42" s="103">
        <f>IF(G26="","",BP80)</f>
        <v>18.920156800645827</v>
      </c>
      <c r="Q42" s="104"/>
      <c r="R42" s="105"/>
      <c r="S42" s="103">
        <f t="shared" si="4"/>
        <v>19</v>
      </c>
      <c r="T42" s="104"/>
      <c r="U42" s="106"/>
      <c r="V42" s="20"/>
      <c r="W42" s="12"/>
      <c r="X42" s="12"/>
      <c r="Y42" s="12"/>
      <c r="Z42" s="12"/>
      <c r="AA42" s="12"/>
      <c r="AB42" s="12"/>
      <c r="AC42" s="12"/>
      <c r="AD42" s="12"/>
      <c r="AE42" s="16"/>
      <c r="AF42" s="314" t="str">
        <f t="shared" si="5"/>
        <v>Acceptable</v>
      </c>
      <c r="AG42" s="315"/>
      <c r="AH42" s="315"/>
      <c r="AI42" s="315"/>
      <c r="AJ42" s="316"/>
      <c r="BG42" s="58">
        <f>BG41</f>
        <v>312</v>
      </c>
      <c r="BH42" s="63">
        <f>BH41+T26</f>
        <v>16.97</v>
      </c>
      <c r="BI42" s="60">
        <f>BI41+T26</f>
        <v>17.344999999999999</v>
      </c>
      <c r="BJ42" s="58">
        <f>IF(G26="",BJ41,M42)</f>
        <v>18.753026130475952</v>
      </c>
      <c r="BK42" s="58">
        <f>IF(G26="",BK41,P42)</f>
        <v>18.920156800645827</v>
      </c>
      <c r="BN42" s="58" t="s">
        <v>137</v>
      </c>
      <c r="BO42" s="58" t="s">
        <v>138</v>
      </c>
      <c r="BP42" s="58">
        <f>BP41-$BW$23^2/(2*9.81)</f>
        <v>15.380507447590777</v>
      </c>
      <c r="BQ42" s="58" t="s">
        <v>29</v>
      </c>
      <c r="BU42" s="58" t="s">
        <v>74</v>
      </c>
      <c r="BV42" s="58" t="s">
        <v>86</v>
      </c>
      <c r="BW42" s="60">
        <f>$K$26</f>
        <v>0.2</v>
      </c>
      <c r="BX42" s="59" t="s">
        <v>79</v>
      </c>
    </row>
    <row r="43" spans="2:76">
      <c r="B43" s="11"/>
      <c r="C43" s="12"/>
      <c r="D43" s="12"/>
      <c r="E43" s="12"/>
      <c r="F43" s="13"/>
      <c r="G43" s="20"/>
      <c r="H43" s="163">
        <v>6</v>
      </c>
      <c r="I43" s="146"/>
      <c r="J43" s="147"/>
      <c r="K43" s="101">
        <f>IF(G27="","",BP94)</f>
        <v>0.16713067016987576</v>
      </c>
      <c r="L43" s="102"/>
      <c r="M43" s="103">
        <f>IF(G27="","",BP95)</f>
        <v>19.412418888197994</v>
      </c>
      <c r="N43" s="104"/>
      <c r="O43" s="105"/>
      <c r="P43" s="103">
        <f>IF(G27="","",BP96)</f>
        <v>19.579549558367869</v>
      </c>
      <c r="Q43" s="104"/>
      <c r="R43" s="105"/>
      <c r="S43" s="103">
        <f t="shared" si="4"/>
        <v>20</v>
      </c>
      <c r="T43" s="104"/>
      <c r="U43" s="106"/>
      <c r="V43" s="20"/>
      <c r="W43" s="12"/>
      <c r="X43" s="12"/>
      <c r="Y43" s="12"/>
      <c r="Z43" s="12"/>
      <c r="AA43" s="12"/>
      <c r="AB43" s="12"/>
      <c r="AC43" s="12"/>
      <c r="AD43" s="12"/>
      <c r="AE43" s="16"/>
      <c r="AF43" s="314" t="str">
        <f t="shared" si="5"/>
        <v>Acceptable</v>
      </c>
      <c r="AG43" s="315"/>
      <c r="AH43" s="315"/>
      <c r="AI43" s="315"/>
      <c r="AJ43" s="316"/>
      <c r="BF43" s="58">
        <v>6</v>
      </c>
      <c r="BG43" s="58">
        <f>BG26</f>
        <v>362</v>
      </c>
      <c r="BH43" s="58">
        <f>BH42+I27*O27%</f>
        <v>18.47</v>
      </c>
      <c r="BI43" s="60">
        <f>BH43+G28</f>
        <v>18.844999999999999</v>
      </c>
      <c r="BJ43" s="58">
        <f>IF(G27="",BJ42,M43-K43)</f>
        <v>19.245288218028119</v>
      </c>
      <c r="BK43" s="58">
        <f>IF(G27="",BK42,P43-K43)</f>
        <v>19.412418888197994</v>
      </c>
      <c r="BU43" s="58" t="s">
        <v>75</v>
      </c>
      <c r="BV43" s="58" t="s">
        <v>87</v>
      </c>
      <c r="BW43" s="58">
        <f>BW42/BW39</f>
        <v>1.8108295747344538</v>
      </c>
      <c r="BX43" s="59" t="s">
        <v>81</v>
      </c>
    </row>
    <row r="44" spans="2:76">
      <c r="B44" s="11"/>
      <c r="C44" s="12"/>
      <c r="D44" s="12"/>
      <c r="E44" s="12"/>
      <c r="F44" s="13"/>
      <c r="G44" s="20"/>
      <c r="H44" s="163">
        <v>7</v>
      </c>
      <c r="I44" s="146"/>
      <c r="J44" s="147"/>
      <c r="K44" s="101">
        <f>IF(G28="","",BP110)</f>
        <v>0.16713067016987576</v>
      </c>
      <c r="L44" s="102"/>
      <c r="M44" s="103">
        <f>IF(G28="","",BP111)</f>
        <v>20.071811645920036</v>
      </c>
      <c r="N44" s="104"/>
      <c r="O44" s="105"/>
      <c r="P44" s="103">
        <f>IF(G28="","",BP112)</f>
        <v>20.238942316089911</v>
      </c>
      <c r="Q44" s="104"/>
      <c r="R44" s="105"/>
      <c r="S44" s="103">
        <f t="shared" si="4"/>
        <v>21</v>
      </c>
      <c r="T44" s="104"/>
      <c r="U44" s="106"/>
      <c r="V44" s="20"/>
      <c r="W44" s="12"/>
      <c r="X44" s="12"/>
      <c r="Y44" s="12"/>
      <c r="Z44" s="12"/>
      <c r="AA44" s="12"/>
      <c r="AB44" s="12"/>
      <c r="AC44" s="12"/>
      <c r="AD44" s="12"/>
      <c r="AE44" s="16"/>
      <c r="AF44" s="314" t="str">
        <f t="shared" si="5"/>
        <v>Acceptable</v>
      </c>
      <c r="AG44" s="315"/>
      <c r="AH44" s="315"/>
      <c r="AI44" s="315"/>
      <c r="AJ44" s="316"/>
      <c r="BG44" s="58">
        <f>BG43</f>
        <v>362</v>
      </c>
      <c r="BH44" s="63">
        <f>BH43+T27</f>
        <v>18.57</v>
      </c>
      <c r="BI44" s="60">
        <f>BI43+T27</f>
        <v>18.945</v>
      </c>
      <c r="BJ44" s="58">
        <f>IF(G27="",BJ43,M43)</f>
        <v>19.412418888197994</v>
      </c>
      <c r="BK44" s="58">
        <f>IF(G27="",BK43,P43)</f>
        <v>19.579549558367869</v>
      </c>
      <c r="BN44" s="58" t="s">
        <v>143</v>
      </c>
      <c r="BU44" s="58" t="s">
        <v>76</v>
      </c>
      <c r="BV44" s="58" t="s">
        <v>88</v>
      </c>
      <c r="BW44" s="63">
        <f>BW35+$T$25</f>
        <v>15.819999999999999</v>
      </c>
      <c r="BX44" s="59" t="s">
        <v>29</v>
      </c>
    </row>
    <row r="45" spans="2:76">
      <c r="B45" s="11"/>
      <c r="C45" s="12"/>
      <c r="D45" s="12"/>
      <c r="E45" s="12"/>
      <c r="F45" s="13"/>
      <c r="G45" s="20"/>
      <c r="H45" s="163">
        <v>8</v>
      </c>
      <c r="I45" s="146"/>
      <c r="J45" s="147"/>
      <c r="K45" s="101">
        <f>IF(G29="","",BP126)</f>
        <v>0.16713067016987576</v>
      </c>
      <c r="L45" s="102"/>
      <c r="M45" s="103">
        <f>IF(G29="","",BP127)</f>
        <v>20.731204403642078</v>
      </c>
      <c r="N45" s="104"/>
      <c r="O45" s="105"/>
      <c r="P45" s="103">
        <f>IF(G29="","",BP128)</f>
        <v>20.898335073811953</v>
      </c>
      <c r="Q45" s="104"/>
      <c r="R45" s="105"/>
      <c r="S45" s="103">
        <f t="shared" si="4"/>
        <v>22</v>
      </c>
      <c r="T45" s="104"/>
      <c r="U45" s="106"/>
      <c r="V45" s="20"/>
      <c r="W45" s="12"/>
      <c r="X45" s="12"/>
      <c r="Y45" s="12"/>
      <c r="Z45" s="12"/>
      <c r="AA45" s="12"/>
      <c r="AB45" s="12"/>
      <c r="AC45" s="12"/>
      <c r="AD45" s="12"/>
      <c r="AE45" s="16"/>
      <c r="AF45" s="314" t="str">
        <f t="shared" si="5"/>
        <v>Acceptable</v>
      </c>
      <c r="AG45" s="315"/>
      <c r="AH45" s="315"/>
      <c r="AI45" s="315"/>
      <c r="AJ45" s="316"/>
      <c r="BF45" s="58">
        <v>7</v>
      </c>
      <c r="BG45" s="58">
        <f>BG27</f>
        <v>412</v>
      </c>
      <c r="BH45" s="58">
        <f>BH44+I28*O28%</f>
        <v>19.07</v>
      </c>
      <c r="BI45" s="60">
        <f>BH45+G29</f>
        <v>19.445</v>
      </c>
      <c r="BJ45" s="58">
        <f>IF(G28="",BJ44,M44-K44)</f>
        <v>19.904680975750161</v>
      </c>
      <c r="BK45" s="58">
        <f>IF(G28="",BK44,P44-K44)</f>
        <v>20.071811645920036</v>
      </c>
      <c r="BN45" s="58" t="s">
        <v>113</v>
      </c>
      <c r="BO45" s="58" t="s">
        <v>115</v>
      </c>
      <c r="BP45" s="63">
        <f>$AF$24</f>
        <v>1</v>
      </c>
      <c r="BU45" s="58" t="s">
        <v>77</v>
      </c>
      <c r="BV45" s="58" t="s">
        <v>89</v>
      </c>
      <c r="BW45" s="58">
        <f>BW44+BW40*BW41%</f>
        <v>16.82</v>
      </c>
      <c r="BX45" s="59" t="s">
        <v>29</v>
      </c>
    </row>
    <row r="46" spans="2:76">
      <c r="B46" s="11"/>
      <c r="C46" s="12"/>
      <c r="D46" s="12"/>
      <c r="E46" s="12"/>
      <c r="F46" s="13"/>
      <c r="G46" s="20"/>
      <c r="H46" s="163">
        <v>9</v>
      </c>
      <c r="I46" s="146"/>
      <c r="J46" s="147"/>
      <c r="K46" s="101">
        <f>IF(G30="","",BP142)</f>
        <v>0.16713067016987576</v>
      </c>
      <c r="L46" s="102"/>
      <c r="M46" s="103">
        <f>IF(G30="","",BP143)</f>
        <v>21.39059716136412</v>
      </c>
      <c r="N46" s="104"/>
      <c r="O46" s="105"/>
      <c r="P46" s="103">
        <f>IF(G30="","",BP144)</f>
        <v>21.557727831533995</v>
      </c>
      <c r="Q46" s="104"/>
      <c r="R46" s="105"/>
      <c r="S46" s="103">
        <f t="shared" si="4"/>
        <v>23</v>
      </c>
      <c r="T46" s="362"/>
      <c r="U46" s="363"/>
      <c r="V46" s="20"/>
      <c r="W46" s="12"/>
      <c r="X46" s="12"/>
      <c r="Y46" s="12"/>
      <c r="Z46" s="12"/>
      <c r="AA46" s="12"/>
      <c r="AB46" s="12"/>
      <c r="AC46" s="12"/>
      <c r="AD46" s="12"/>
      <c r="AE46" s="16"/>
      <c r="AF46" s="314" t="str">
        <f t="shared" si="5"/>
        <v>Acceptable</v>
      </c>
      <c r="AG46" s="315"/>
      <c r="AH46" s="315"/>
      <c r="AI46" s="315"/>
      <c r="AJ46" s="316"/>
      <c r="BG46" s="58">
        <f>BG45</f>
        <v>412</v>
      </c>
      <c r="BH46" s="63">
        <f>BH45+T28</f>
        <v>19.170000000000002</v>
      </c>
      <c r="BI46" s="60">
        <f>BI45+T28</f>
        <v>19.545000000000002</v>
      </c>
      <c r="BJ46" s="58">
        <f>IF(G28="",BJ45,M44)</f>
        <v>20.071811645920036</v>
      </c>
      <c r="BK46" s="58">
        <f>IF(G28="",BK45,P44)</f>
        <v>20.238942316089911</v>
      </c>
      <c r="BN46" s="58" t="s">
        <v>114</v>
      </c>
      <c r="BO46" s="58" t="s">
        <v>116</v>
      </c>
      <c r="BP46" s="58">
        <f>BP45*($BW$23^2/(2*9.81))</f>
        <v>0.27190927961311007</v>
      </c>
    </row>
    <row r="47" spans="2:76">
      <c r="B47" s="11"/>
      <c r="C47" s="12"/>
      <c r="D47" s="12"/>
      <c r="E47" s="12"/>
      <c r="F47" s="13"/>
      <c r="G47" s="20"/>
      <c r="H47" s="163">
        <v>10</v>
      </c>
      <c r="I47" s="146"/>
      <c r="J47" s="147"/>
      <c r="K47" s="101">
        <f>IF(G31="","",BP158)</f>
        <v>0.16713067016987576</v>
      </c>
      <c r="L47" s="102"/>
      <c r="M47" s="103">
        <f>IF(G31="","",BP159)</f>
        <v>22.049989919086162</v>
      </c>
      <c r="N47" s="104"/>
      <c r="O47" s="105"/>
      <c r="P47" s="103">
        <f>IF(G31="","",BP160)</f>
        <v>22.217120589256037</v>
      </c>
      <c r="Q47" s="104"/>
      <c r="R47" s="105"/>
      <c r="S47" s="103">
        <f t="shared" si="4"/>
        <v>24</v>
      </c>
      <c r="T47" s="104"/>
      <c r="U47" s="106"/>
      <c r="V47" s="20"/>
      <c r="W47" s="12"/>
      <c r="X47" s="12"/>
      <c r="Y47" s="12"/>
      <c r="Z47" s="12"/>
      <c r="AA47" s="12"/>
      <c r="AB47" s="12"/>
      <c r="AC47" s="12"/>
      <c r="AD47" s="12"/>
      <c r="AE47" s="16"/>
      <c r="AF47" s="314" t="str">
        <f t="shared" si="5"/>
        <v>Acceptable</v>
      </c>
      <c r="AG47" s="315"/>
      <c r="AH47" s="315"/>
      <c r="AI47" s="315"/>
      <c r="AJ47" s="316"/>
      <c r="BF47" s="58">
        <v>8</v>
      </c>
      <c r="BG47" s="58">
        <f>BG28</f>
        <v>462</v>
      </c>
      <c r="BH47" s="58">
        <f>BH46+I29*O29%</f>
        <v>19.670000000000002</v>
      </c>
      <c r="BI47" s="60">
        <f>BH47+G30</f>
        <v>20.045000000000002</v>
      </c>
      <c r="BJ47" s="58">
        <f>IF(G29="",BJ46,M45-K45)</f>
        <v>20.564073733472203</v>
      </c>
      <c r="BK47" s="58">
        <f>IF(G29="",BK46,P45-K45)</f>
        <v>20.731204403642078</v>
      </c>
      <c r="BN47" s="58" t="s">
        <v>117</v>
      </c>
      <c r="BO47" s="58" t="s">
        <v>118</v>
      </c>
      <c r="BP47" s="58">
        <f>BP42+BP46</f>
        <v>15.652416727203887</v>
      </c>
      <c r="BQ47" s="58" t="s">
        <v>29</v>
      </c>
      <c r="BU47" s="58" t="s">
        <v>93</v>
      </c>
    </row>
    <row r="48" spans="2:76" ht="15" thickBot="1">
      <c r="B48" s="11"/>
      <c r="C48" s="12"/>
      <c r="D48" s="12"/>
      <c r="E48" s="12"/>
      <c r="F48" s="13"/>
      <c r="G48" s="20"/>
      <c r="H48" s="165">
        <v>11</v>
      </c>
      <c r="I48" s="152"/>
      <c r="J48" s="153"/>
      <c r="K48" s="95">
        <f>IF(G32="","",BP174)</f>
        <v>0.16713067016987576</v>
      </c>
      <c r="L48" s="96"/>
      <c r="M48" s="87">
        <f>IF(G32="","",BP175)</f>
        <v>22.709382676808204</v>
      </c>
      <c r="N48" s="88"/>
      <c r="O48" s="89"/>
      <c r="P48" s="87">
        <f>IF(G32="","",BP176)</f>
        <v>22.876513346978079</v>
      </c>
      <c r="Q48" s="88"/>
      <c r="R48" s="89"/>
      <c r="S48" s="87">
        <f t="shared" si="4"/>
        <v>25</v>
      </c>
      <c r="T48" s="88"/>
      <c r="U48" s="90"/>
      <c r="V48" s="20"/>
      <c r="W48" s="12"/>
      <c r="X48" s="12"/>
      <c r="Y48" s="12"/>
      <c r="Z48" s="12"/>
      <c r="AA48" s="12"/>
      <c r="AB48" s="12"/>
      <c r="AC48" s="12"/>
      <c r="AD48" s="12"/>
      <c r="AE48" s="16"/>
      <c r="AF48" s="314" t="str">
        <f t="shared" si="5"/>
        <v>Acceptable</v>
      </c>
      <c r="AG48" s="315"/>
      <c r="AH48" s="315"/>
      <c r="AI48" s="315"/>
      <c r="AJ48" s="316"/>
      <c r="BG48" s="58">
        <f>BG47</f>
        <v>462</v>
      </c>
      <c r="BH48" s="63">
        <f>BH47+T29</f>
        <v>19.87</v>
      </c>
      <c r="BI48" s="60">
        <f>BI47+T29</f>
        <v>20.245000000000001</v>
      </c>
      <c r="BJ48" s="58">
        <f>IF(G29="",BJ47,M45)</f>
        <v>20.731204403642078</v>
      </c>
      <c r="BK48" s="58">
        <f>IF(G29="",BK47,P45)</f>
        <v>20.898335073811953</v>
      </c>
      <c r="BN48" s="58" t="s">
        <v>120</v>
      </c>
      <c r="BO48" s="58" t="s">
        <v>121</v>
      </c>
      <c r="BP48" s="58">
        <f>BP47+(IF($G$25="",$BW$23,$BW$33)^2/(2*9.81))</f>
        <v>16.156162236734041</v>
      </c>
      <c r="BQ48" s="58" t="s">
        <v>29</v>
      </c>
      <c r="BU48" s="58" t="s">
        <v>70</v>
      </c>
      <c r="BV48" s="58" t="s">
        <v>82</v>
      </c>
      <c r="BW48" s="60">
        <f>$G$27</f>
        <v>0.375</v>
      </c>
      <c r="BX48" s="59" t="s">
        <v>29</v>
      </c>
    </row>
    <row r="49" spans="2:76" ht="15" thickBot="1">
      <c r="B49" s="11"/>
      <c r="C49" s="12"/>
      <c r="D49" s="12"/>
      <c r="E49" s="12"/>
      <c r="F49" s="13"/>
      <c r="G49" s="20"/>
      <c r="H49" s="19"/>
      <c r="I49" s="19"/>
      <c r="J49" s="19"/>
      <c r="K49" s="19"/>
      <c r="L49" s="19"/>
      <c r="M49" s="19"/>
      <c r="N49" s="19"/>
      <c r="O49" s="19"/>
      <c r="P49" s="19"/>
      <c r="Q49" s="19"/>
      <c r="R49" s="19"/>
      <c r="S49" s="19"/>
      <c r="T49" s="19"/>
      <c r="U49" s="19"/>
      <c r="V49" s="19"/>
      <c r="W49" s="19"/>
      <c r="X49" s="19"/>
      <c r="Y49" s="19"/>
      <c r="Z49" s="19"/>
      <c r="AA49" s="19"/>
      <c r="AB49" s="19"/>
      <c r="AC49" s="12"/>
      <c r="AD49" s="12"/>
      <c r="AE49" s="16"/>
      <c r="AF49" s="17"/>
      <c r="AG49" s="12"/>
      <c r="AH49" s="12"/>
      <c r="AI49" s="12"/>
      <c r="AJ49" s="18"/>
      <c r="BF49" s="58">
        <v>9</v>
      </c>
      <c r="BG49" s="58">
        <f>BG29</f>
        <v>512</v>
      </c>
      <c r="BH49" s="58">
        <f>BH48+I30*O30%</f>
        <v>20.37</v>
      </c>
      <c r="BI49" s="60">
        <f>BH49+G31</f>
        <v>20.745000000000001</v>
      </c>
      <c r="BJ49" s="58">
        <f>IF(G30="",BJ48,M46-K46)</f>
        <v>21.223466491194245</v>
      </c>
      <c r="BK49" s="58">
        <f>IF(G30="",BK48,P46-K46)</f>
        <v>21.39059716136412</v>
      </c>
      <c r="BU49" s="58" t="s">
        <v>71</v>
      </c>
      <c r="BV49" s="58" t="s">
        <v>83</v>
      </c>
      <c r="BW49" s="58">
        <f>PI()*(BW48/2)^2</f>
        <v>0.11044661672776616</v>
      </c>
      <c r="BX49" s="59" t="s">
        <v>78</v>
      </c>
    </row>
    <row r="50" spans="2:76">
      <c r="B50" s="11"/>
      <c r="C50" s="12"/>
      <c r="D50" s="12"/>
      <c r="E50" s="12"/>
      <c r="F50" s="13"/>
      <c r="G50" s="20"/>
      <c r="H50" s="343" t="s">
        <v>164</v>
      </c>
      <c r="I50" s="344"/>
      <c r="J50" s="345"/>
      <c r="K50" s="357" t="s">
        <v>165</v>
      </c>
      <c r="L50" s="353"/>
      <c r="M50" s="358"/>
      <c r="N50" s="361" t="s">
        <v>166</v>
      </c>
      <c r="O50" s="353"/>
      <c r="P50" s="358"/>
      <c r="Q50" s="361" t="s">
        <v>122</v>
      </c>
      <c r="R50" s="353"/>
      <c r="S50" s="358"/>
      <c r="T50" s="349" t="s">
        <v>119</v>
      </c>
      <c r="U50" s="350"/>
      <c r="V50" s="350"/>
      <c r="W50" s="349" t="s">
        <v>163</v>
      </c>
      <c r="X50" s="350"/>
      <c r="Y50" s="350"/>
      <c r="Z50" s="352" t="s">
        <v>43</v>
      </c>
      <c r="AA50" s="353"/>
      <c r="AB50" s="354"/>
      <c r="AC50" s="12"/>
      <c r="AD50" s="12"/>
      <c r="AE50" s="16"/>
      <c r="AF50" s="17"/>
      <c r="AG50" s="12"/>
      <c r="AH50" s="12"/>
      <c r="AI50" s="12"/>
      <c r="AJ50" s="18"/>
      <c r="BG50" s="58">
        <f>BG49</f>
        <v>512</v>
      </c>
      <c r="BH50" s="63">
        <f>BH49+T30</f>
        <v>20.67</v>
      </c>
      <c r="BI50" s="60">
        <f>BI49+T30</f>
        <v>21.045000000000002</v>
      </c>
      <c r="BJ50" s="58">
        <f>IF(G30="",BJ49,M46)</f>
        <v>21.39059716136412</v>
      </c>
      <c r="BK50" s="58">
        <f>IF(G30="",BK49,P46)</f>
        <v>21.557727831533995</v>
      </c>
      <c r="BN50" s="58" t="s">
        <v>144</v>
      </c>
      <c r="BU50" s="58" t="s">
        <v>72</v>
      </c>
      <c r="BV50" s="58" t="s">
        <v>84</v>
      </c>
      <c r="BW50" s="61">
        <f>$I$27</f>
        <v>50</v>
      </c>
      <c r="BX50" s="59" t="s">
        <v>29</v>
      </c>
    </row>
    <row r="51" spans="2:76" ht="15" thickBot="1">
      <c r="B51" s="11"/>
      <c r="C51" s="12"/>
      <c r="D51" s="12"/>
      <c r="E51" s="12"/>
      <c r="F51" s="13"/>
      <c r="G51" s="20"/>
      <c r="H51" s="346"/>
      <c r="I51" s="347"/>
      <c r="J51" s="348"/>
      <c r="K51" s="359"/>
      <c r="L51" s="355"/>
      <c r="M51" s="360"/>
      <c r="N51" s="355"/>
      <c r="O51" s="355"/>
      <c r="P51" s="360"/>
      <c r="Q51" s="355"/>
      <c r="R51" s="355"/>
      <c r="S51" s="360"/>
      <c r="T51" s="351"/>
      <c r="U51" s="351"/>
      <c r="V51" s="351"/>
      <c r="W51" s="351"/>
      <c r="X51" s="351"/>
      <c r="Y51" s="351"/>
      <c r="Z51" s="355"/>
      <c r="AA51" s="355"/>
      <c r="AB51" s="356"/>
      <c r="AC51" s="12"/>
      <c r="AD51" s="12"/>
      <c r="AE51" s="16"/>
      <c r="AF51" s="17"/>
      <c r="AG51" s="12"/>
      <c r="AH51" s="12"/>
      <c r="AI51" s="12"/>
      <c r="AJ51" s="18"/>
      <c r="BF51" s="58">
        <v>10</v>
      </c>
      <c r="BG51" s="58">
        <f>BG30</f>
        <v>562</v>
      </c>
      <c r="BH51" s="58">
        <f>BH50+I31*O31%</f>
        <v>21.17</v>
      </c>
      <c r="BI51" s="60">
        <f>BH51+G32</f>
        <v>21.545000000000002</v>
      </c>
      <c r="BJ51" s="58">
        <f>IF(G31="",BJ50,M47-K47)</f>
        <v>21.882859248916287</v>
      </c>
      <c r="BK51" s="58">
        <f>IF(G31="",BK50,P47-K47)</f>
        <v>22.049989919086162</v>
      </c>
      <c r="BN51" s="58" t="s">
        <v>123</v>
      </c>
      <c r="BO51" s="58" t="s">
        <v>124</v>
      </c>
      <c r="BP51" s="60">
        <f>$M$25*10^-3</f>
        <v>5.9999999999999995E-4</v>
      </c>
      <c r="BQ51" s="58" t="s">
        <v>64</v>
      </c>
      <c r="BU51" s="58" t="s">
        <v>73</v>
      </c>
      <c r="BV51" s="58" t="s">
        <v>85</v>
      </c>
      <c r="BW51" s="61">
        <f>$O$27</f>
        <v>3</v>
      </c>
      <c r="BX51" s="59" t="s">
        <v>80</v>
      </c>
    </row>
    <row r="52" spans="2:76">
      <c r="B52" s="11"/>
      <c r="C52" s="12"/>
      <c r="D52" s="12"/>
      <c r="E52" s="12"/>
      <c r="F52" s="13"/>
      <c r="G52" s="20"/>
      <c r="H52" s="277">
        <v>1</v>
      </c>
      <c r="I52" s="278"/>
      <c r="J52" s="279"/>
      <c r="K52" s="91">
        <f>IF(G23="","",BP21)</f>
        <v>1214923.2297091247</v>
      </c>
      <c r="L52" s="92"/>
      <c r="M52" s="92"/>
      <c r="N52" s="93">
        <f>IF(G23="","",BP22)</f>
        <v>1.9635357457849546E-2</v>
      </c>
      <c r="O52" s="94"/>
      <c r="P52" s="94"/>
      <c r="Q52" s="93">
        <f>IF(G23="","",BP24)</f>
        <v>1.0210466238252827</v>
      </c>
      <c r="R52" s="94"/>
      <c r="S52" s="94"/>
      <c r="T52" s="80">
        <f>IF(G23="","",BP25)</f>
        <v>14.329670135981026</v>
      </c>
      <c r="U52" s="81"/>
      <c r="V52" s="81"/>
      <c r="W52" s="80">
        <f>IF(G23="","",BP26)</f>
        <v>13.971046623825282</v>
      </c>
      <c r="X52" s="81"/>
      <c r="Y52" s="81"/>
      <c r="Z52" s="80">
        <f t="shared" ref="Z52:Z61" si="6">IF(G23="","",S39)</f>
        <v>17</v>
      </c>
      <c r="AA52" s="81"/>
      <c r="AB52" s="82"/>
      <c r="AC52" s="12"/>
      <c r="AD52" s="12"/>
      <c r="AE52" s="16"/>
      <c r="AF52" s="314" t="str">
        <f>IF(G23="","",IF(W52&lt;Z52-Y11,"Acceptable","HGL Too High"))</f>
        <v>Acceptable</v>
      </c>
      <c r="AG52" s="332"/>
      <c r="AH52" s="332"/>
      <c r="AI52" s="332"/>
      <c r="AJ52" s="333"/>
      <c r="BG52" s="58">
        <f>BG51</f>
        <v>562</v>
      </c>
      <c r="BH52" s="63">
        <f>BH51+T31</f>
        <v>21.57</v>
      </c>
      <c r="BI52" s="60">
        <f>BI51+T31</f>
        <v>21.945</v>
      </c>
      <c r="BJ52" s="58">
        <f>IF(G31="",BJ51,M47)</f>
        <v>22.049989919086162</v>
      </c>
      <c r="BK52" s="58">
        <f>IF(G31="",BK51,P47)</f>
        <v>22.217120589256037</v>
      </c>
      <c r="BN52" s="58" t="s">
        <v>125</v>
      </c>
      <c r="BO52" s="58" t="s">
        <v>126</v>
      </c>
      <c r="BP52" s="58">
        <f>1.31*10^-6</f>
        <v>1.31E-6</v>
      </c>
      <c r="BQ52" s="58" t="s">
        <v>139</v>
      </c>
      <c r="BU52" s="58" t="s">
        <v>74</v>
      </c>
      <c r="BV52" s="58" t="s">
        <v>86</v>
      </c>
      <c r="BW52" s="60">
        <f>$K$27</f>
        <v>0.2</v>
      </c>
      <c r="BX52" s="59" t="s">
        <v>79</v>
      </c>
    </row>
    <row r="53" spans="2:76">
      <c r="B53" s="11"/>
      <c r="C53" s="12"/>
      <c r="D53" s="12"/>
      <c r="E53" s="12"/>
      <c r="F53" s="13"/>
      <c r="G53" s="20"/>
      <c r="H53" s="280">
        <v>2</v>
      </c>
      <c r="I53" s="281"/>
      <c r="J53" s="282"/>
      <c r="K53" s="83">
        <f>IF(G24="","",BP37)</f>
        <v>925655.79406409524</v>
      </c>
      <c r="L53" s="84"/>
      <c r="M53" s="84"/>
      <c r="N53" s="85">
        <f>IF(G24="","",BP38)</f>
        <v>2.0289472627785937E-2</v>
      </c>
      <c r="O53" s="86"/>
      <c r="P53" s="86"/>
      <c r="Q53" s="85">
        <f>IF(G24="","",BP40)</f>
        <v>1.0508373116097502</v>
      </c>
      <c r="R53" s="86"/>
      <c r="S53" s="86"/>
      <c r="T53" s="70">
        <f>IF(G24="","",BP41)</f>
        <v>15.652416727203887</v>
      </c>
      <c r="U53" s="71"/>
      <c r="V53" s="71"/>
      <c r="W53" s="70">
        <f>IF(G24="","",BP42)</f>
        <v>15.380507447590777</v>
      </c>
      <c r="X53" s="71"/>
      <c r="Y53" s="71"/>
      <c r="Z53" s="70">
        <f t="shared" si="6"/>
        <v>18</v>
      </c>
      <c r="AA53" s="71"/>
      <c r="AB53" s="72"/>
      <c r="AC53" s="12"/>
      <c r="AD53" s="12"/>
      <c r="AE53" s="16"/>
      <c r="AF53" s="314" t="str">
        <f>IF(G24="","",IF(W53&lt;Z53-Y11,"Acceptable","HGL Too High"))</f>
        <v>Acceptable</v>
      </c>
      <c r="AG53" s="332"/>
      <c r="AH53" s="332"/>
      <c r="AI53" s="332"/>
      <c r="AJ53" s="333"/>
      <c r="BF53" s="58">
        <v>11</v>
      </c>
      <c r="BG53" s="61">
        <f>BG31</f>
        <v>612</v>
      </c>
      <c r="BH53" s="58">
        <f>BH52+I32*O32%</f>
        <v>22.07</v>
      </c>
      <c r="BI53" s="60">
        <f>BH53+G32</f>
        <v>22.445</v>
      </c>
      <c r="BJ53" s="58">
        <f>IF(G32="",BJ52,M48-K48)</f>
        <v>22.542252006638329</v>
      </c>
      <c r="BK53" s="58">
        <f>IF(G32="",BK52,P48-K48)</f>
        <v>22.709382676808204</v>
      </c>
      <c r="BN53" s="58" t="s">
        <v>127</v>
      </c>
      <c r="BO53" s="58" t="s">
        <v>128</v>
      </c>
      <c r="BP53" s="58">
        <f>($BW$33*$BW$28/BP52)</f>
        <v>1079931.7597414441</v>
      </c>
      <c r="BU53" s="58" t="s">
        <v>75</v>
      </c>
      <c r="BV53" s="58" t="s">
        <v>87</v>
      </c>
      <c r="BW53" s="58">
        <f>BW52/BW49</f>
        <v>1.8108295747344538</v>
      </c>
      <c r="BX53" s="59" t="s">
        <v>81</v>
      </c>
    </row>
    <row r="54" spans="2:76">
      <c r="B54" s="11"/>
      <c r="C54" s="12"/>
      <c r="D54" s="12"/>
      <c r="E54" s="12"/>
      <c r="F54" s="13"/>
      <c r="G54" s="20"/>
      <c r="H54" s="280">
        <v>3</v>
      </c>
      <c r="I54" s="281"/>
      <c r="J54" s="282"/>
      <c r="K54" s="83">
        <f>IF(G25="","",BP53)</f>
        <v>1079931.7597414441</v>
      </c>
      <c r="L54" s="84"/>
      <c r="M54" s="84"/>
      <c r="N54" s="85">
        <f>IF(G25="","",BP54)</f>
        <v>2.1086128995983E-2</v>
      </c>
      <c r="O54" s="86"/>
      <c r="P54" s="86"/>
      <c r="Q54" s="85">
        <f>IF(G25="","",BP56)</f>
        <v>1.7703404658499948</v>
      </c>
      <c r="R54" s="86"/>
      <c r="S54" s="86"/>
      <c r="T54" s="70">
        <f>IF(G25="","",BP57)</f>
        <v>17.926502702584035</v>
      </c>
      <c r="U54" s="71"/>
      <c r="V54" s="71"/>
      <c r="W54" s="70">
        <f>IF(G25="","",BP58)</f>
        <v>17.422757193053883</v>
      </c>
      <c r="X54" s="71"/>
      <c r="Y54" s="71"/>
      <c r="Z54" s="70">
        <f t="shared" si="6"/>
        <v>18.5</v>
      </c>
      <c r="AA54" s="71"/>
      <c r="AB54" s="72"/>
      <c r="AC54" s="12"/>
      <c r="AD54" s="12"/>
      <c r="AE54" s="16"/>
      <c r="AF54" s="314" t="str">
        <f>IF(G25="","",IF(W54&lt;Z54-Y11,"Acceptable","HGL Too High"))</f>
        <v>Acceptable</v>
      </c>
      <c r="AG54" s="332"/>
      <c r="AH54" s="332"/>
      <c r="AI54" s="332"/>
      <c r="AJ54" s="333"/>
      <c r="BG54" s="58">
        <f>BG53</f>
        <v>612</v>
      </c>
      <c r="BH54" s="63">
        <f>BH53+T32</f>
        <v>22.17</v>
      </c>
      <c r="BI54" s="60">
        <f>BI53+T32</f>
        <v>22.545000000000002</v>
      </c>
      <c r="BJ54" s="58">
        <f>IF(G32="",BJ53,M48)</f>
        <v>22.709382676808204</v>
      </c>
      <c r="BK54" s="58">
        <f>IF(G32="",BK53,P48)</f>
        <v>22.876513346978079</v>
      </c>
      <c r="BN54" s="58" t="s">
        <v>129</v>
      </c>
      <c r="BO54" s="58" t="s">
        <v>130</v>
      </c>
      <c r="BP54" s="58">
        <f>(1/(-2*LOG10((BP51/(3.7*$BW$28)))+(5.1286/BP53^0.89)))^2</f>
        <v>2.1086128995983E-2</v>
      </c>
      <c r="BQ54" s="62"/>
      <c r="BU54" s="58" t="s">
        <v>76</v>
      </c>
      <c r="BV54" s="58" t="s">
        <v>88</v>
      </c>
      <c r="BW54" s="63">
        <f>BW45+$T$26</f>
        <v>16.97</v>
      </c>
      <c r="BX54" s="59" t="s">
        <v>29</v>
      </c>
    </row>
    <row r="55" spans="2:76">
      <c r="B55" s="11"/>
      <c r="C55" s="12"/>
      <c r="D55" s="12"/>
      <c r="E55" s="12"/>
      <c r="F55" s="13"/>
      <c r="G55" s="20"/>
      <c r="H55" s="280">
        <v>4</v>
      </c>
      <c r="I55" s="281"/>
      <c r="J55" s="282"/>
      <c r="K55" s="83">
        <f>IF(G26="","",BP69)</f>
        <v>518367.24467589328</v>
      </c>
      <c r="L55" s="84"/>
      <c r="M55" s="84"/>
      <c r="N55" s="85">
        <f>IF(G26="","",BP70)</f>
        <v>2.2090294096760582E-2</v>
      </c>
      <c r="O55" s="86"/>
      <c r="P55" s="86"/>
      <c r="Q55" s="85">
        <f>IF(G26="","",BP72)</f>
        <v>0.49226208755216627</v>
      </c>
      <c r="R55" s="86"/>
      <c r="S55" s="86"/>
      <c r="T55" s="70">
        <f>IF(G26="","",BP73)</f>
        <v>18.585895460306077</v>
      </c>
      <c r="U55" s="71"/>
      <c r="V55" s="71"/>
      <c r="W55" s="70">
        <f>IF(G26="","",BP74)</f>
        <v>18.418764790136201</v>
      </c>
      <c r="X55" s="71"/>
      <c r="Y55" s="71"/>
      <c r="Z55" s="70">
        <f t="shared" si="6"/>
        <v>19</v>
      </c>
      <c r="AA55" s="71"/>
      <c r="AB55" s="72"/>
      <c r="AC55" s="12"/>
      <c r="AD55" s="12"/>
      <c r="AE55" s="16"/>
      <c r="AF55" s="314" t="str">
        <f>IF(G26="","",IF(W55&lt;Z55-Y11,"Acceptable","HGL Too High"))</f>
        <v>Acceptable</v>
      </c>
      <c r="AG55" s="332"/>
      <c r="AH55" s="332"/>
      <c r="AI55" s="332"/>
      <c r="AJ55" s="333"/>
      <c r="BN55" s="58" t="s">
        <v>131</v>
      </c>
      <c r="BO55" s="58" t="s">
        <v>132</v>
      </c>
      <c r="BP55" s="58">
        <f>BP54*$BW$33^2/(2*9.81*$BW$28)</f>
        <v>2.3604539544666597E-2</v>
      </c>
      <c r="BQ55" s="58" t="s">
        <v>29</v>
      </c>
      <c r="BU55" s="58" t="s">
        <v>77</v>
      </c>
      <c r="BV55" s="58" t="s">
        <v>89</v>
      </c>
      <c r="BW55" s="58">
        <f>BW54+BW50*BW51%</f>
        <v>18.47</v>
      </c>
      <c r="BX55" s="59" t="s">
        <v>29</v>
      </c>
    </row>
    <row r="56" spans="2:76">
      <c r="B56" s="11"/>
      <c r="C56" s="12"/>
      <c r="D56" s="12"/>
      <c r="E56" s="12"/>
      <c r="F56" s="13"/>
      <c r="G56" s="20"/>
      <c r="H56" s="280">
        <v>5</v>
      </c>
      <c r="I56" s="281"/>
      <c r="J56" s="282"/>
      <c r="K56" s="83">
        <f>IF(G27="","",BP85)</f>
        <v>518367.24467589328</v>
      </c>
      <c r="L56" s="84"/>
      <c r="M56" s="84"/>
      <c r="N56" s="85">
        <f>IF(G27="","",BP86)</f>
        <v>2.2090294096760582E-2</v>
      </c>
      <c r="O56" s="86"/>
      <c r="P56" s="86"/>
      <c r="Q56" s="85">
        <f>IF(G27="","",BP88)</f>
        <v>0.49226208755216627</v>
      </c>
      <c r="R56" s="86"/>
      <c r="S56" s="86"/>
      <c r="T56" s="70">
        <f>IF(G27="","",BP89)</f>
        <v>19.412418888197994</v>
      </c>
      <c r="U56" s="71"/>
      <c r="V56" s="71"/>
      <c r="W56" s="70">
        <f>IF(G27="","",BP90)</f>
        <v>19.245288218028119</v>
      </c>
      <c r="X56" s="71"/>
      <c r="Y56" s="71"/>
      <c r="Z56" s="70">
        <f t="shared" si="6"/>
        <v>20</v>
      </c>
      <c r="AA56" s="71"/>
      <c r="AB56" s="72"/>
      <c r="AC56" s="12"/>
      <c r="AD56" s="12"/>
      <c r="AE56" s="16"/>
      <c r="AF56" s="314" t="str">
        <f>IF(G27="","",IF(W56&lt;Z56-Y11,"Acceptable","HGL Too High"))</f>
        <v>Acceptable</v>
      </c>
      <c r="AG56" s="332"/>
      <c r="AH56" s="332"/>
      <c r="AI56" s="332"/>
      <c r="AJ56" s="333"/>
      <c r="BN56" s="58" t="s">
        <v>133</v>
      </c>
      <c r="BO56" s="58" t="s">
        <v>134</v>
      </c>
      <c r="BP56" s="58">
        <f>BP55*$BW$30</f>
        <v>1.7703404658499948</v>
      </c>
      <c r="BQ56" s="58" t="s">
        <v>29</v>
      </c>
    </row>
    <row r="57" spans="2:76">
      <c r="B57" s="11"/>
      <c r="C57" s="12"/>
      <c r="D57" s="12"/>
      <c r="E57" s="12"/>
      <c r="F57" s="13"/>
      <c r="G57" s="20"/>
      <c r="H57" s="280">
        <v>6</v>
      </c>
      <c r="I57" s="281"/>
      <c r="J57" s="282"/>
      <c r="K57" s="83">
        <f>IF(G28="","",BP101)</f>
        <v>518367.24467589328</v>
      </c>
      <c r="L57" s="84"/>
      <c r="M57" s="84"/>
      <c r="N57" s="85">
        <f>IF(G28="","",BP102)</f>
        <v>2.2090294096760582E-2</v>
      </c>
      <c r="O57" s="86"/>
      <c r="P57" s="86"/>
      <c r="Q57" s="85">
        <f>IF(G28="","",BP104)</f>
        <v>0.49226208755216627</v>
      </c>
      <c r="R57" s="86"/>
      <c r="S57" s="86"/>
      <c r="T57" s="70">
        <f>IF(G28="","",BP105)</f>
        <v>20.071811645920036</v>
      </c>
      <c r="U57" s="71"/>
      <c r="V57" s="71"/>
      <c r="W57" s="70">
        <f>IF(G28="","",BP106)</f>
        <v>19.904680975750161</v>
      </c>
      <c r="X57" s="71"/>
      <c r="Y57" s="71"/>
      <c r="Z57" s="70">
        <f t="shared" si="6"/>
        <v>21</v>
      </c>
      <c r="AA57" s="71"/>
      <c r="AB57" s="72"/>
      <c r="AC57" s="12"/>
      <c r="AD57" s="12"/>
      <c r="AE57" s="16"/>
      <c r="AF57" s="314" t="str">
        <f>IF(G28="","",IF(W57&lt;Z57-Y11,"Acceptable","HGL Too High"))</f>
        <v>Acceptable</v>
      </c>
      <c r="AG57" s="332"/>
      <c r="AH57" s="332"/>
      <c r="AI57" s="332"/>
      <c r="AJ57" s="333"/>
      <c r="BN57" s="58" t="s">
        <v>135</v>
      </c>
      <c r="BO57" s="58" t="s">
        <v>136</v>
      </c>
      <c r="BP57" s="58">
        <f>BP48+BP56</f>
        <v>17.926502702584035</v>
      </c>
      <c r="BQ57" s="58" t="s">
        <v>29</v>
      </c>
      <c r="BU57" s="58" t="s">
        <v>94</v>
      </c>
    </row>
    <row r="58" spans="2:76">
      <c r="B58" s="11"/>
      <c r="C58" s="12"/>
      <c r="D58" s="12"/>
      <c r="E58" s="12"/>
      <c r="F58" s="13"/>
      <c r="G58" s="20"/>
      <c r="H58" s="280">
        <v>7</v>
      </c>
      <c r="I58" s="281"/>
      <c r="J58" s="282"/>
      <c r="K58" s="83">
        <f>IF(G29="","",BP117)</f>
        <v>518367.24467589328</v>
      </c>
      <c r="L58" s="84"/>
      <c r="M58" s="84"/>
      <c r="N58" s="85">
        <f>IF(G29="","",BP118)</f>
        <v>2.2090294096760582E-2</v>
      </c>
      <c r="O58" s="86"/>
      <c r="P58" s="86"/>
      <c r="Q58" s="85">
        <f>IF(G29="","",BP120)</f>
        <v>0.49226208755216627</v>
      </c>
      <c r="R58" s="86"/>
      <c r="S58" s="86"/>
      <c r="T58" s="70">
        <f>IF(G29="","",BP121)</f>
        <v>20.731204403642078</v>
      </c>
      <c r="U58" s="71"/>
      <c r="V58" s="71"/>
      <c r="W58" s="70">
        <f>IF(G29="","",BP122)</f>
        <v>20.564073733472203</v>
      </c>
      <c r="X58" s="71"/>
      <c r="Y58" s="71"/>
      <c r="Z58" s="70">
        <f t="shared" si="6"/>
        <v>22</v>
      </c>
      <c r="AA58" s="71"/>
      <c r="AB58" s="72"/>
      <c r="AC58" s="12"/>
      <c r="AD58" s="12"/>
      <c r="AE58" s="16"/>
      <c r="AF58" s="314" t="str">
        <f>IF(G29="","",IF(W58&lt;Z58-Y11,"Acceptable","HGL Too High"))</f>
        <v>Acceptable</v>
      </c>
      <c r="AG58" s="332"/>
      <c r="AH58" s="332"/>
      <c r="AI58" s="332"/>
      <c r="AJ58" s="333"/>
      <c r="BN58" s="58" t="s">
        <v>137</v>
      </c>
      <c r="BO58" s="58" t="s">
        <v>138</v>
      </c>
      <c r="BP58" s="58">
        <f>BP57-$BW$33^2/(2*9.81)</f>
        <v>17.422757193053883</v>
      </c>
      <c r="BQ58" s="58" t="s">
        <v>29</v>
      </c>
      <c r="BU58" s="58" t="s">
        <v>70</v>
      </c>
      <c r="BV58" s="58" t="s">
        <v>82</v>
      </c>
      <c r="BW58" s="60">
        <f>$G$28</f>
        <v>0.375</v>
      </c>
      <c r="BX58" s="59" t="s">
        <v>29</v>
      </c>
    </row>
    <row r="59" spans="2:76">
      <c r="B59" s="11"/>
      <c r="C59" s="12"/>
      <c r="D59" s="12"/>
      <c r="E59" s="12"/>
      <c r="F59" s="13"/>
      <c r="G59" s="20"/>
      <c r="H59" s="280">
        <v>8</v>
      </c>
      <c r="I59" s="281"/>
      <c r="J59" s="282"/>
      <c r="K59" s="83">
        <f>IF(G30="","",BP133)</f>
        <v>518367.24467589328</v>
      </c>
      <c r="L59" s="84"/>
      <c r="M59" s="84"/>
      <c r="N59" s="85">
        <f>IF(G30="","",BP134)</f>
        <v>2.2090294096760582E-2</v>
      </c>
      <c r="O59" s="86"/>
      <c r="P59" s="86"/>
      <c r="Q59" s="85">
        <f>IF(G30="","",BP136)</f>
        <v>0.49226208755216627</v>
      </c>
      <c r="R59" s="86"/>
      <c r="S59" s="86"/>
      <c r="T59" s="70">
        <f>IF(G30="","",BP137)</f>
        <v>21.39059716136412</v>
      </c>
      <c r="U59" s="71"/>
      <c r="V59" s="71"/>
      <c r="W59" s="70">
        <f>IF(G30="","",BP138)</f>
        <v>21.223466491194245</v>
      </c>
      <c r="X59" s="71"/>
      <c r="Y59" s="71"/>
      <c r="Z59" s="70">
        <f t="shared" si="6"/>
        <v>23</v>
      </c>
      <c r="AA59" s="71"/>
      <c r="AB59" s="72"/>
      <c r="AC59" s="12"/>
      <c r="AD59" s="12"/>
      <c r="AE59" s="16"/>
      <c r="AF59" s="314" t="str">
        <f>IF(G30="","",IF(W59&lt;Z59-Y11,"Acceptable","HGL Too High"))</f>
        <v>Acceptable</v>
      </c>
      <c r="AG59" s="332"/>
      <c r="AH59" s="332"/>
      <c r="AI59" s="332"/>
      <c r="AJ59" s="333"/>
      <c r="BU59" s="58" t="s">
        <v>71</v>
      </c>
      <c r="BV59" s="58" t="s">
        <v>83</v>
      </c>
      <c r="BW59" s="58">
        <f>PI()*(BW58/2)^2</f>
        <v>0.11044661672776616</v>
      </c>
      <c r="BX59" s="59" t="s">
        <v>78</v>
      </c>
    </row>
    <row r="60" spans="2:76">
      <c r="B60" s="11"/>
      <c r="C60" s="12"/>
      <c r="D60" s="12"/>
      <c r="E60" s="12"/>
      <c r="F60" s="13"/>
      <c r="G60" s="20"/>
      <c r="H60" s="280">
        <v>9</v>
      </c>
      <c r="I60" s="281"/>
      <c r="J60" s="282"/>
      <c r="K60" s="83">
        <f>IF(G31="","",BP149)</f>
        <v>518367.24467589328</v>
      </c>
      <c r="L60" s="84"/>
      <c r="M60" s="84"/>
      <c r="N60" s="85">
        <f>IF(G31="","",BP150)</f>
        <v>2.2090294096760582E-2</v>
      </c>
      <c r="O60" s="86"/>
      <c r="P60" s="86"/>
      <c r="Q60" s="85">
        <f>IF(G31="","",BP152)</f>
        <v>0.49226208755216627</v>
      </c>
      <c r="R60" s="86"/>
      <c r="S60" s="86"/>
      <c r="T60" s="70">
        <f>IF(G31="","",BP153)</f>
        <v>22.049989919086162</v>
      </c>
      <c r="U60" s="71"/>
      <c r="V60" s="71"/>
      <c r="W60" s="70">
        <f>IF(G31="","",BP154)</f>
        <v>21.882859248916287</v>
      </c>
      <c r="X60" s="71"/>
      <c r="Y60" s="71"/>
      <c r="Z60" s="70">
        <f t="shared" si="6"/>
        <v>24</v>
      </c>
      <c r="AA60" s="71"/>
      <c r="AB60" s="72"/>
      <c r="AC60" s="12"/>
      <c r="AD60" s="12"/>
      <c r="AE60" s="16"/>
      <c r="AF60" s="314" t="str">
        <f>IF(G31="","",IF(W60&lt;Z60-Y11,"Acceptable","HGL Too High"))</f>
        <v>Acceptable</v>
      </c>
      <c r="AG60" s="332"/>
      <c r="AH60" s="332"/>
      <c r="AI60" s="332"/>
      <c r="AJ60" s="333"/>
      <c r="BN60" s="58" t="s">
        <v>145</v>
      </c>
      <c r="BU60" s="58" t="s">
        <v>72</v>
      </c>
      <c r="BV60" s="58" t="s">
        <v>84</v>
      </c>
      <c r="BW60" s="61">
        <f>$I$28</f>
        <v>50</v>
      </c>
      <c r="BX60" s="59" t="s">
        <v>29</v>
      </c>
    </row>
    <row r="61" spans="2:76" ht="15" thickBot="1">
      <c r="B61" s="11"/>
      <c r="C61" s="12"/>
      <c r="D61" s="12"/>
      <c r="E61" s="12"/>
      <c r="F61" s="13"/>
      <c r="G61" s="20"/>
      <c r="H61" s="375">
        <v>10</v>
      </c>
      <c r="I61" s="351"/>
      <c r="J61" s="376"/>
      <c r="K61" s="73">
        <f>IF(G32="","",BP165)</f>
        <v>518367.24467589328</v>
      </c>
      <c r="L61" s="74"/>
      <c r="M61" s="74"/>
      <c r="N61" s="75">
        <f>IF(G32="","",BP166)</f>
        <v>2.2090294096760582E-2</v>
      </c>
      <c r="O61" s="76"/>
      <c r="P61" s="76"/>
      <c r="Q61" s="75">
        <f>IF(G32="","",BP168)</f>
        <v>0.49226208755216627</v>
      </c>
      <c r="R61" s="76"/>
      <c r="S61" s="76"/>
      <c r="T61" s="77">
        <f>IF(G32="","",BP169)</f>
        <v>22.709382676808204</v>
      </c>
      <c r="U61" s="78"/>
      <c r="V61" s="78"/>
      <c r="W61" s="77">
        <f>IF(G32="","",BP170)</f>
        <v>22.542252006638329</v>
      </c>
      <c r="X61" s="78"/>
      <c r="Y61" s="78"/>
      <c r="Z61" s="77">
        <f t="shared" si="6"/>
        <v>25</v>
      </c>
      <c r="AA61" s="78"/>
      <c r="AB61" s="79"/>
      <c r="AC61" s="12"/>
      <c r="AD61" s="12"/>
      <c r="AE61" s="16"/>
      <c r="AF61" s="314" t="str">
        <f>IF(G32="","",IF(W61&lt;Z61-Y11,"Acceptable","HGL Too High"))</f>
        <v>Acceptable</v>
      </c>
      <c r="AG61" s="332"/>
      <c r="AH61" s="332"/>
      <c r="AI61" s="332"/>
      <c r="AJ61" s="333"/>
      <c r="BN61" s="58" t="s">
        <v>113</v>
      </c>
      <c r="BO61" s="58" t="s">
        <v>115</v>
      </c>
      <c r="BP61" s="63">
        <f>$AF$25</f>
        <v>1</v>
      </c>
      <c r="BU61" s="58" t="s">
        <v>73</v>
      </c>
      <c r="BV61" s="58" t="s">
        <v>85</v>
      </c>
      <c r="BW61" s="61">
        <f>$O$28</f>
        <v>1</v>
      </c>
      <c r="BX61" s="59" t="s">
        <v>80</v>
      </c>
    </row>
    <row r="62" spans="2:76">
      <c r="B62" s="11"/>
      <c r="C62" s="12"/>
      <c r="D62" s="12"/>
      <c r="E62" s="12"/>
      <c r="F62" s="13"/>
      <c r="G62" s="20"/>
      <c r="H62" s="4"/>
      <c r="I62" s="4"/>
      <c r="J62" s="4"/>
      <c r="K62" s="4"/>
      <c r="L62" s="4"/>
      <c r="M62" s="4"/>
      <c r="N62" s="4"/>
      <c r="O62" s="4"/>
      <c r="P62" s="4"/>
      <c r="Q62" s="4"/>
      <c r="R62" s="4"/>
      <c r="S62" s="4"/>
      <c r="T62" s="4"/>
      <c r="U62" s="4"/>
      <c r="V62" s="4"/>
      <c r="W62" s="4"/>
      <c r="X62" s="4"/>
      <c r="Y62" s="4"/>
      <c r="Z62" s="4"/>
      <c r="AA62" s="4"/>
      <c r="AB62" s="4"/>
      <c r="AC62" s="12"/>
      <c r="AD62" s="12"/>
      <c r="AE62" s="16"/>
      <c r="AF62" s="17"/>
      <c r="AG62" s="12"/>
      <c r="AH62" s="12"/>
      <c r="AI62" s="12"/>
      <c r="AJ62" s="18"/>
      <c r="BN62" s="58" t="s">
        <v>114</v>
      </c>
      <c r="BO62" s="58" t="s">
        <v>116</v>
      </c>
      <c r="BP62" s="58">
        <f>BP61*($BW$33^2/(2*9.81))</f>
        <v>0.50374550953015196</v>
      </c>
      <c r="BU62" s="58" t="s">
        <v>74</v>
      </c>
      <c r="BV62" s="58" t="s">
        <v>86</v>
      </c>
      <c r="BW62" s="60">
        <f>$K$28</f>
        <v>0.2</v>
      </c>
      <c r="BX62" s="59" t="s">
        <v>79</v>
      </c>
    </row>
    <row r="63" spans="2:76" ht="15" thickBot="1">
      <c r="B63" s="25"/>
      <c r="C63" s="26"/>
      <c r="D63" s="26"/>
      <c r="E63" s="26"/>
      <c r="F63" s="27"/>
      <c r="G63" s="28"/>
      <c r="H63" s="26"/>
      <c r="I63" s="26"/>
      <c r="J63" s="26"/>
      <c r="K63" s="26"/>
      <c r="L63" s="26"/>
      <c r="M63" s="26"/>
      <c r="N63" s="26"/>
      <c r="O63" s="26"/>
      <c r="P63" s="26"/>
      <c r="Q63" s="26"/>
      <c r="R63" s="26"/>
      <c r="S63" s="26"/>
      <c r="T63" s="26"/>
      <c r="U63" s="26"/>
      <c r="V63" s="26"/>
      <c r="W63" s="26"/>
      <c r="X63" s="26"/>
      <c r="Y63" s="26"/>
      <c r="Z63" s="26"/>
      <c r="AA63" s="26"/>
      <c r="AB63" s="26"/>
      <c r="AC63" s="26"/>
      <c r="AD63" s="26"/>
      <c r="AE63" s="2"/>
      <c r="AF63" s="29"/>
      <c r="AG63" s="26"/>
      <c r="AH63" s="26"/>
      <c r="AI63" s="26"/>
      <c r="AJ63" s="30"/>
      <c r="BN63" s="58" t="s">
        <v>117</v>
      </c>
      <c r="BO63" s="58" t="s">
        <v>118</v>
      </c>
      <c r="BP63" s="58">
        <f>BP58+BP62</f>
        <v>17.926502702584035</v>
      </c>
      <c r="BQ63" s="58" t="s">
        <v>29</v>
      </c>
      <c r="BU63" s="58" t="s">
        <v>75</v>
      </c>
      <c r="BV63" s="58" t="s">
        <v>87</v>
      </c>
      <c r="BW63" s="58">
        <f>BW62/BW59</f>
        <v>1.8108295747344538</v>
      </c>
      <c r="BX63" s="59" t="s">
        <v>81</v>
      </c>
    </row>
    <row r="64" spans="2:76">
      <c r="BN64" s="58" t="s">
        <v>120</v>
      </c>
      <c r="BO64" s="58" t="s">
        <v>121</v>
      </c>
      <c r="BP64" s="58">
        <f>BP63+(IF($G$26="",$BW$33,$BW$43)^2/(2*9.81))</f>
        <v>18.09363337275391</v>
      </c>
      <c r="BQ64" s="58" t="s">
        <v>29</v>
      </c>
      <c r="BU64" s="58" t="s">
        <v>76</v>
      </c>
      <c r="BV64" s="58" t="s">
        <v>88</v>
      </c>
      <c r="BW64" s="63">
        <f>BW55+$T$27</f>
        <v>18.57</v>
      </c>
      <c r="BX64" s="59" t="s">
        <v>29</v>
      </c>
    </row>
    <row r="65" spans="66:76">
      <c r="BU65" s="58" t="s">
        <v>77</v>
      </c>
      <c r="BV65" s="58" t="s">
        <v>89</v>
      </c>
      <c r="BW65" s="58">
        <f>BW64+BW60*BW61%</f>
        <v>19.07</v>
      </c>
      <c r="BX65" s="59" t="s">
        <v>29</v>
      </c>
    </row>
    <row r="66" spans="66:76">
      <c r="BN66" s="58" t="s">
        <v>146</v>
      </c>
    </row>
    <row r="67" spans="66:76" ht="15" customHeight="1">
      <c r="BN67" s="58" t="s">
        <v>123</v>
      </c>
      <c r="BO67" s="58" t="s">
        <v>124</v>
      </c>
      <c r="BP67" s="60">
        <f>$M$26*10^-3</f>
        <v>5.9999999999999995E-4</v>
      </c>
      <c r="BQ67" s="58" t="s">
        <v>64</v>
      </c>
      <c r="BU67" s="58" t="s">
        <v>96</v>
      </c>
    </row>
    <row r="68" spans="66:76">
      <c r="BN68" s="58" t="s">
        <v>125</v>
      </c>
      <c r="BO68" s="58" t="s">
        <v>126</v>
      </c>
      <c r="BP68" s="58">
        <f>1.31*10^-6</f>
        <v>1.31E-6</v>
      </c>
      <c r="BQ68" s="58" t="s">
        <v>139</v>
      </c>
      <c r="BU68" s="58" t="s">
        <v>70</v>
      </c>
      <c r="BV68" s="58" t="s">
        <v>82</v>
      </c>
      <c r="BW68" s="60">
        <f>$G$29</f>
        <v>0.375</v>
      </c>
      <c r="BX68" s="59" t="s">
        <v>29</v>
      </c>
    </row>
    <row r="69" spans="66:76">
      <c r="BN69" s="58" t="s">
        <v>127</v>
      </c>
      <c r="BO69" s="58" t="s">
        <v>128</v>
      </c>
      <c r="BP69" s="58">
        <f>($BW$43*$BW$38/BP68)</f>
        <v>518367.24467589328</v>
      </c>
      <c r="BU69" s="58" t="s">
        <v>71</v>
      </c>
      <c r="BV69" s="58" t="s">
        <v>83</v>
      </c>
      <c r="BW69" s="58">
        <f>PI()*(BW68/2)^2</f>
        <v>0.11044661672776616</v>
      </c>
      <c r="BX69" s="59" t="s">
        <v>78</v>
      </c>
    </row>
    <row r="70" spans="66:76">
      <c r="BN70" s="58" t="s">
        <v>129</v>
      </c>
      <c r="BO70" s="58" t="s">
        <v>130</v>
      </c>
      <c r="BP70" s="58">
        <f>(1/(-2*LOG10((BP67/(3.7*$BW$38)))+(5.1286/BP69^0.89)))^2</f>
        <v>2.2090294096760582E-2</v>
      </c>
      <c r="BQ70" s="62"/>
      <c r="BU70" s="58" t="s">
        <v>72</v>
      </c>
      <c r="BV70" s="58" t="s">
        <v>84</v>
      </c>
      <c r="BW70" s="61">
        <f>$I$29</f>
        <v>50</v>
      </c>
      <c r="BX70" s="59" t="s">
        <v>29</v>
      </c>
    </row>
    <row r="71" spans="66:76">
      <c r="BN71" s="58" t="s">
        <v>131</v>
      </c>
      <c r="BO71" s="58" t="s">
        <v>132</v>
      </c>
      <c r="BP71" s="58">
        <f>BP70*$BW$43^2/(2*9.81*$BW$38)</f>
        <v>9.8452417510433259E-3</v>
      </c>
      <c r="BQ71" s="58" t="s">
        <v>29</v>
      </c>
      <c r="BU71" s="58" t="s">
        <v>73</v>
      </c>
      <c r="BV71" s="58" t="s">
        <v>85</v>
      </c>
      <c r="BW71" s="61">
        <f>$O$29</f>
        <v>1</v>
      </c>
      <c r="BX71" s="59" t="s">
        <v>80</v>
      </c>
    </row>
    <row r="72" spans="66:76">
      <c r="BN72" s="58" t="s">
        <v>133</v>
      </c>
      <c r="BO72" s="58" t="s">
        <v>134</v>
      </c>
      <c r="BP72" s="58">
        <f>BP71*$BW$40</f>
        <v>0.49226208755216627</v>
      </c>
      <c r="BQ72" s="58" t="s">
        <v>29</v>
      </c>
      <c r="BU72" s="58" t="s">
        <v>74</v>
      </c>
      <c r="BV72" s="58" t="s">
        <v>86</v>
      </c>
      <c r="BW72" s="60">
        <f>$K$29</f>
        <v>0.2</v>
      </c>
      <c r="BX72" s="59" t="s">
        <v>79</v>
      </c>
    </row>
    <row r="73" spans="66:76">
      <c r="BN73" s="58" t="s">
        <v>135</v>
      </c>
      <c r="BO73" s="58" t="s">
        <v>136</v>
      </c>
      <c r="BP73" s="58">
        <f>BP64+BP72</f>
        <v>18.585895460306077</v>
      </c>
      <c r="BQ73" s="58" t="s">
        <v>29</v>
      </c>
      <c r="BU73" s="58" t="s">
        <v>75</v>
      </c>
      <c r="BV73" s="58" t="s">
        <v>87</v>
      </c>
      <c r="BW73" s="58">
        <f>BW72/BW69</f>
        <v>1.8108295747344538</v>
      </c>
      <c r="BX73" s="59" t="s">
        <v>81</v>
      </c>
    </row>
    <row r="74" spans="66:76">
      <c r="BN74" s="58" t="s">
        <v>137</v>
      </c>
      <c r="BO74" s="58" t="s">
        <v>138</v>
      </c>
      <c r="BP74" s="58">
        <f>BP73-$BW$43^2/(2*9.81)</f>
        <v>18.418764790136201</v>
      </c>
      <c r="BQ74" s="58" t="s">
        <v>29</v>
      </c>
      <c r="BU74" s="58" t="s">
        <v>76</v>
      </c>
      <c r="BV74" s="58" t="s">
        <v>88</v>
      </c>
      <c r="BW74" s="63">
        <f>BW65+$T$28</f>
        <v>19.170000000000002</v>
      </c>
      <c r="BX74" s="59" t="s">
        <v>29</v>
      </c>
    </row>
    <row r="75" spans="66:76">
      <c r="BU75" s="58" t="s">
        <v>77</v>
      </c>
      <c r="BV75" s="58" t="s">
        <v>89</v>
      </c>
      <c r="BW75" s="58">
        <f>BW74+BW70*BW71%</f>
        <v>19.670000000000002</v>
      </c>
      <c r="BX75" s="59" t="s">
        <v>29</v>
      </c>
    </row>
    <row r="76" spans="66:76">
      <c r="BN76" s="58" t="s">
        <v>147</v>
      </c>
      <c r="BX76" s="58"/>
    </row>
    <row r="77" spans="66:76">
      <c r="BN77" s="58" t="s">
        <v>113</v>
      </c>
      <c r="BO77" s="58" t="s">
        <v>115</v>
      </c>
      <c r="BP77" s="63">
        <f>$AF$26</f>
        <v>2</v>
      </c>
      <c r="BU77" s="58" t="s">
        <v>95</v>
      </c>
    </row>
    <row r="78" spans="66:76">
      <c r="BN78" s="58" t="s">
        <v>114</v>
      </c>
      <c r="BO78" s="58" t="s">
        <v>116</v>
      </c>
      <c r="BP78" s="58">
        <f>BP77*($BW$43^2/(2*9.81))</f>
        <v>0.33426134033975152</v>
      </c>
      <c r="BU78" s="58" t="s">
        <v>70</v>
      </c>
      <c r="BV78" s="58" t="s">
        <v>82</v>
      </c>
      <c r="BW78" s="60">
        <f>$G$30</f>
        <v>0.375</v>
      </c>
      <c r="BX78" s="59" t="s">
        <v>29</v>
      </c>
    </row>
    <row r="79" spans="66:76">
      <c r="BN79" s="58" t="s">
        <v>117</v>
      </c>
      <c r="BO79" s="58" t="s">
        <v>118</v>
      </c>
      <c r="BP79" s="58">
        <f>BP74+BP78</f>
        <v>18.753026130475952</v>
      </c>
      <c r="BQ79" s="58" t="s">
        <v>29</v>
      </c>
      <c r="BU79" s="58" t="s">
        <v>71</v>
      </c>
      <c r="BV79" s="58" t="s">
        <v>83</v>
      </c>
      <c r="BW79" s="58">
        <f>PI()*(BW78/2)^2</f>
        <v>0.11044661672776616</v>
      </c>
      <c r="BX79" s="59" t="s">
        <v>78</v>
      </c>
    </row>
    <row r="80" spans="66:76">
      <c r="BN80" s="58" t="s">
        <v>120</v>
      </c>
      <c r="BO80" s="58" t="s">
        <v>121</v>
      </c>
      <c r="BP80" s="58">
        <f>BP79+(IF($G$27="",$BW$43,$BW$53)^2/(2*9.81))</f>
        <v>18.920156800645827</v>
      </c>
      <c r="BQ80" s="58" t="s">
        <v>29</v>
      </c>
      <c r="BU80" s="58" t="s">
        <v>72</v>
      </c>
      <c r="BV80" s="58" t="s">
        <v>84</v>
      </c>
      <c r="BW80" s="61">
        <f>$I$30</f>
        <v>50</v>
      </c>
      <c r="BX80" s="59" t="s">
        <v>29</v>
      </c>
    </row>
    <row r="81" spans="66:76">
      <c r="BU81" s="58" t="s">
        <v>73</v>
      </c>
      <c r="BV81" s="58" t="s">
        <v>85</v>
      </c>
      <c r="BW81" s="61">
        <f>$O$30</f>
        <v>1</v>
      </c>
      <c r="BX81" s="59" t="s">
        <v>80</v>
      </c>
    </row>
    <row r="82" spans="66:76">
      <c r="BN82" s="58" t="s">
        <v>148</v>
      </c>
      <c r="BU82" s="58" t="s">
        <v>74</v>
      </c>
      <c r="BV82" s="58" t="s">
        <v>86</v>
      </c>
      <c r="BW82" s="60">
        <f>$K$30</f>
        <v>0.2</v>
      </c>
      <c r="BX82" s="59" t="s">
        <v>79</v>
      </c>
    </row>
    <row r="83" spans="66:76">
      <c r="BN83" s="58" t="s">
        <v>123</v>
      </c>
      <c r="BO83" s="58" t="s">
        <v>124</v>
      </c>
      <c r="BP83" s="60">
        <f>$M$27*10^-3</f>
        <v>5.9999999999999995E-4</v>
      </c>
      <c r="BQ83" s="58" t="s">
        <v>64</v>
      </c>
      <c r="BU83" s="58" t="s">
        <v>75</v>
      </c>
      <c r="BV83" s="58" t="s">
        <v>87</v>
      </c>
      <c r="BW83" s="58">
        <f>BW82/BW79</f>
        <v>1.8108295747344538</v>
      </c>
      <c r="BX83" s="59" t="s">
        <v>81</v>
      </c>
    </row>
    <row r="84" spans="66:76">
      <c r="BN84" s="58" t="s">
        <v>125</v>
      </c>
      <c r="BO84" s="58" t="s">
        <v>126</v>
      </c>
      <c r="BP84" s="58">
        <f>1.31*10^-6</f>
        <v>1.31E-6</v>
      </c>
      <c r="BQ84" s="58" t="s">
        <v>139</v>
      </c>
      <c r="BU84" s="58" t="s">
        <v>76</v>
      </c>
      <c r="BV84" s="58" t="s">
        <v>88</v>
      </c>
      <c r="BW84" s="63">
        <f>BW75+$T$29</f>
        <v>19.87</v>
      </c>
      <c r="BX84" s="59" t="s">
        <v>29</v>
      </c>
    </row>
    <row r="85" spans="66:76">
      <c r="BN85" s="58" t="s">
        <v>127</v>
      </c>
      <c r="BO85" s="58" t="s">
        <v>128</v>
      </c>
      <c r="BP85" s="58">
        <f>($BW$53*$BW$48/BP84)</f>
        <v>518367.24467589328</v>
      </c>
      <c r="BU85" s="58" t="s">
        <v>77</v>
      </c>
      <c r="BV85" s="58" t="s">
        <v>89</v>
      </c>
      <c r="BW85" s="58">
        <f>BW84+BW80*BW81%</f>
        <v>20.37</v>
      </c>
      <c r="BX85" s="59" t="s">
        <v>29</v>
      </c>
    </row>
    <row r="86" spans="66:76">
      <c r="BN86" s="58" t="s">
        <v>129</v>
      </c>
      <c r="BO86" s="58" t="s">
        <v>130</v>
      </c>
      <c r="BP86" s="58">
        <f>(1/(-2*LOG10((BP83/(3.7*$BW$48)))+(5.1286/BP85^0.89)))^2</f>
        <v>2.2090294096760582E-2</v>
      </c>
      <c r="BQ86" s="62"/>
      <c r="BX86" s="58"/>
    </row>
    <row r="87" spans="66:76">
      <c r="BN87" s="58" t="s">
        <v>131</v>
      </c>
      <c r="BO87" s="58" t="s">
        <v>132</v>
      </c>
      <c r="BP87" s="58">
        <f>BP86*$BW$53^2/(2*9.81*$BW$48)</f>
        <v>9.8452417510433259E-3</v>
      </c>
      <c r="BQ87" s="58" t="s">
        <v>29</v>
      </c>
      <c r="BU87" s="58" t="s">
        <v>97</v>
      </c>
    </row>
    <row r="88" spans="66:76">
      <c r="BN88" s="58" t="s">
        <v>133</v>
      </c>
      <c r="BO88" s="58" t="s">
        <v>134</v>
      </c>
      <c r="BP88" s="58">
        <f>BP87*$BW$50</f>
        <v>0.49226208755216627</v>
      </c>
      <c r="BQ88" s="58" t="s">
        <v>29</v>
      </c>
      <c r="BU88" s="58" t="s">
        <v>70</v>
      </c>
      <c r="BV88" s="58" t="s">
        <v>82</v>
      </c>
      <c r="BW88" s="60">
        <f>$G$31</f>
        <v>0.375</v>
      </c>
      <c r="BX88" s="59" t="s">
        <v>29</v>
      </c>
    </row>
    <row r="89" spans="66:76">
      <c r="BN89" s="58" t="s">
        <v>135</v>
      </c>
      <c r="BO89" s="58" t="s">
        <v>136</v>
      </c>
      <c r="BP89" s="58">
        <f>BP80+BP88</f>
        <v>19.412418888197994</v>
      </c>
      <c r="BQ89" s="58" t="s">
        <v>29</v>
      </c>
      <c r="BU89" s="58" t="s">
        <v>71</v>
      </c>
      <c r="BV89" s="58" t="s">
        <v>83</v>
      </c>
      <c r="BW89" s="58">
        <f>PI()*(BW88/2)^2</f>
        <v>0.11044661672776616</v>
      </c>
      <c r="BX89" s="59" t="s">
        <v>78</v>
      </c>
    </row>
    <row r="90" spans="66:76">
      <c r="BN90" s="58" t="s">
        <v>137</v>
      </c>
      <c r="BO90" s="58" t="s">
        <v>138</v>
      </c>
      <c r="BP90" s="58">
        <f>BP89-$BW$53^2/(2*9.81)</f>
        <v>19.245288218028119</v>
      </c>
      <c r="BQ90" s="58" t="s">
        <v>29</v>
      </c>
      <c r="BU90" s="58" t="s">
        <v>72</v>
      </c>
      <c r="BV90" s="58" t="s">
        <v>84</v>
      </c>
      <c r="BW90" s="61">
        <f>$I$31</f>
        <v>50</v>
      </c>
      <c r="BX90" s="59" t="s">
        <v>29</v>
      </c>
    </row>
    <row r="91" spans="66:76">
      <c r="BU91" s="58" t="s">
        <v>73</v>
      </c>
      <c r="BV91" s="58" t="s">
        <v>85</v>
      </c>
      <c r="BW91" s="61">
        <f>$O$31</f>
        <v>1</v>
      </c>
      <c r="BX91" s="59" t="s">
        <v>80</v>
      </c>
    </row>
    <row r="92" spans="66:76">
      <c r="BN92" s="58" t="s">
        <v>149</v>
      </c>
      <c r="BU92" s="58" t="s">
        <v>74</v>
      </c>
      <c r="BV92" s="58" t="s">
        <v>86</v>
      </c>
      <c r="BW92" s="60">
        <f>$K$31</f>
        <v>0.2</v>
      </c>
      <c r="BX92" s="59" t="s">
        <v>79</v>
      </c>
    </row>
    <row r="93" spans="66:76">
      <c r="BN93" s="58" t="s">
        <v>113</v>
      </c>
      <c r="BO93" s="58" t="s">
        <v>115</v>
      </c>
      <c r="BP93" s="63">
        <f>$AF$27</f>
        <v>1</v>
      </c>
      <c r="BU93" s="58" t="s">
        <v>75</v>
      </c>
      <c r="BV93" s="58" t="s">
        <v>87</v>
      </c>
      <c r="BW93" s="58">
        <f>BW92/BW89</f>
        <v>1.8108295747344538</v>
      </c>
      <c r="BX93" s="59" t="s">
        <v>81</v>
      </c>
    </row>
    <row r="94" spans="66:76">
      <c r="BN94" s="58" t="s">
        <v>114</v>
      </c>
      <c r="BO94" s="58" t="s">
        <v>116</v>
      </c>
      <c r="BP94" s="58">
        <f>BP93*($BW$53^2/(2*9.81))</f>
        <v>0.16713067016987576</v>
      </c>
      <c r="BU94" s="58" t="s">
        <v>76</v>
      </c>
      <c r="BV94" s="58" t="s">
        <v>88</v>
      </c>
      <c r="BW94" s="63">
        <f>BW85+$T$30</f>
        <v>20.67</v>
      </c>
      <c r="BX94" s="59" t="s">
        <v>29</v>
      </c>
    </row>
    <row r="95" spans="66:76">
      <c r="BN95" s="58" t="s">
        <v>117</v>
      </c>
      <c r="BO95" s="58" t="s">
        <v>118</v>
      </c>
      <c r="BP95" s="58">
        <f>BP90+BP94</f>
        <v>19.412418888197994</v>
      </c>
      <c r="BQ95" s="58" t="s">
        <v>29</v>
      </c>
      <c r="BU95" s="58" t="s">
        <v>77</v>
      </c>
      <c r="BV95" s="58" t="s">
        <v>89</v>
      </c>
      <c r="BW95" s="58">
        <f>BW94+BW90*BW91%</f>
        <v>21.17</v>
      </c>
      <c r="BX95" s="59" t="s">
        <v>29</v>
      </c>
    </row>
    <row r="96" spans="66:76">
      <c r="BN96" s="58" t="s">
        <v>120</v>
      </c>
      <c r="BO96" s="58" t="s">
        <v>121</v>
      </c>
      <c r="BP96" s="58">
        <f>BP95+(IF($G$28="",$BW$53,$BW$63)^2/(2*9.81))</f>
        <v>19.579549558367869</v>
      </c>
      <c r="BQ96" s="58" t="s">
        <v>29</v>
      </c>
      <c r="BX96" s="58"/>
    </row>
    <row r="97" spans="66:76">
      <c r="BU97" s="58" t="s">
        <v>98</v>
      </c>
    </row>
    <row r="98" spans="66:76">
      <c r="BN98" s="58" t="s">
        <v>150</v>
      </c>
      <c r="BU98" s="58" t="s">
        <v>70</v>
      </c>
      <c r="BV98" s="58" t="s">
        <v>82</v>
      </c>
      <c r="BW98" s="60">
        <f>$G$32</f>
        <v>0.375</v>
      </c>
      <c r="BX98" s="59" t="s">
        <v>29</v>
      </c>
    </row>
    <row r="99" spans="66:76">
      <c r="BN99" s="58" t="s">
        <v>123</v>
      </c>
      <c r="BO99" s="58" t="s">
        <v>124</v>
      </c>
      <c r="BP99" s="60">
        <f>$M$28*10^-3</f>
        <v>5.9999999999999995E-4</v>
      </c>
      <c r="BQ99" s="58" t="s">
        <v>64</v>
      </c>
      <c r="BU99" s="58" t="s">
        <v>71</v>
      </c>
      <c r="BV99" s="58" t="s">
        <v>83</v>
      </c>
      <c r="BW99" s="58">
        <f>PI()*(BW98/2)^2</f>
        <v>0.11044661672776616</v>
      </c>
      <c r="BX99" s="59" t="s">
        <v>78</v>
      </c>
    </row>
    <row r="100" spans="66:76">
      <c r="BN100" s="58" t="s">
        <v>125</v>
      </c>
      <c r="BO100" s="58" t="s">
        <v>126</v>
      </c>
      <c r="BP100" s="58">
        <f>1.31*10^-6</f>
        <v>1.31E-6</v>
      </c>
      <c r="BQ100" s="58" t="s">
        <v>139</v>
      </c>
      <c r="BU100" s="58" t="s">
        <v>72</v>
      </c>
      <c r="BV100" s="58" t="s">
        <v>84</v>
      </c>
      <c r="BW100" s="61">
        <f>$I$32</f>
        <v>50</v>
      </c>
      <c r="BX100" s="59" t="s">
        <v>29</v>
      </c>
    </row>
    <row r="101" spans="66:76">
      <c r="BN101" s="58" t="s">
        <v>127</v>
      </c>
      <c r="BO101" s="58" t="s">
        <v>128</v>
      </c>
      <c r="BP101" s="58">
        <f>($BW$63*$BW$58/BP100)</f>
        <v>518367.24467589328</v>
      </c>
      <c r="BU101" s="58" t="s">
        <v>73</v>
      </c>
      <c r="BV101" s="58" t="s">
        <v>85</v>
      </c>
      <c r="BW101" s="61">
        <f>$O$32</f>
        <v>1</v>
      </c>
      <c r="BX101" s="59" t="s">
        <v>80</v>
      </c>
    </row>
    <row r="102" spans="66:76">
      <c r="BN102" s="58" t="s">
        <v>129</v>
      </c>
      <c r="BO102" s="58" t="s">
        <v>130</v>
      </c>
      <c r="BP102" s="58">
        <f>(1/(-2*LOG10((BP99/(3.7*$BW$58)))+(5.1286/BP101^0.89)))^2</f>
        <v>2.2090294096760582E-2</v>
      </c>
      <c r="BQ102" s="62"/>
      <c r="BU102" s="58" t="s">
        <v>74</v>
      </c>
      <c r="BV102" s="58" t="s">
        <v>86</v>
      </c>
      <c r="BW102" s="60">
        <f>$K$32</f>
        <v>0.2</v>
      </c>
      <c r="BX102" s="59" t="s">
        <v>79</v>
      </c>
    </row>
    <row r="103" spans="66:76">
      <c r="BN103" s="58" t="s">
        <v>131</v>
      </c>
      <c r="BO103" s="58" t="s">
        <v>132</v>
      </c>
      <c r="BP103" s="58">
        <f>BP102*$BW$63^2/(2*9.81*$BW$58)</f>
        <v>9.8452417510433259E-3</v>
      </c>
      <c r="BQ103" s="58" t="s">
        <v>29</v>
      </c>
      <c r="BU103" s="58" t="s">
        <v>75</v>
      </c>
      <c r="BV103" s="58" t="s">
        <v>87</v>
      </c>
      <c r="BW103" s="58">
        <f>BW102/BW99</f>
        <v>1.8108295747344538</v>
      </c>
      <c r="BX103" s="59" t="s">
        <v>81</v>
      </c>
    </row>
    <row r="104" spans="66:76">
      <c r="BN104" s="58" t="s">
        <v>133</v>
      </c>
      <c r="BO104" s="58" t="s">
        <v>134</v>
      </c>
      <c r="BP104" s="58">
        <f>BP103*$BW$60</f>
        <v>0.49226208755216627</v>
      </c>
      <c r="BQ104" s="58" t="s">
        <v>29</v>
      </c>
      <c r="BU104" s="58" t="s">
        <v>76</v>
      </c>
      <c r="BV104" s="58" t="s">
        <v>88</v>
      </c>
      <c r="BW104" s="63">
        <f>BW95+$T$31</f>
        <v>21.57</v>
      </c>
      <c r="BX104" s="59" t="s">
        <v>29</v>
      </c>
    </row>
    <row r="105" spans="66:76">
      <c r="BN105" s="58" t="s">
        <v>135</v>
      </c>
      <c r="BO105" s="58" t="s">
        <v>136</v>
      </c>
      <c r="BP105" s="58">
        <f>BP96+BP104</f>
        <v>20.071811645920036</v>
      </c>
      <c r="BQ105" s="58" t="s">
        <v>29</v>
      </c>
      <c r="BU105" s="58" t="s">
        <v>77</v>
      </c>
      <c r="BV105" s="58" t="s">
        <v>89</v>
      </c>
      <c r="BW105" s="58">
        <f>BW104+BW100*BW101%</f>
        <v>22.07</v>
      </c>
      <c r="BX105" s="59" t="s">
        <v>29</v>
      </c>
    </row>
    <row r="106" spans="66:76">
      <c r="BN106" s="58" t="s">
        <v>137</v>
      </c>
      <c r="BO106" s="58" t="s">
        <v>138</v>
      </c>
      <c r="BP106" s="58">
        <f>BP105-$BW$63^2/(2*9.81)</f>
        <v>19.904680975750161</v>
      </c>
      <c r="BQ106" s="58" t="s">
        <v>29</v>
      </c>
    </row>
    <row r="108" spans="66:76">
      <c r="BN108" s="58" t="s">
        <v>151</v>
      </c>
    </row>
    <row r="109" spans="66:76">
      <c r="BN109" s="58" t="s">
        <v>113</v>
      </c>
      <c r="BO109" s="58" t="s">
        <v>115</v>
      </c>
      <c r="BP109" s="63">
        <f>$AF$28</f>
        <v>1</v>
      </c>
    </row>
    <row r="110" spans="66:76">
      <c r="BN110" s="58" t="s">
        <v>114</v>
      </c>
      <c r="BO110" s="58" t="s">
        <v>116</v>
      </c>
      <c r="BP110" s="58">
        <f>BP109*($BW$63^2/(2*9.81))</f>
        <v>0.16713067016987576</v>
      </c>
    </row>
    <row r="111" spans="66:76">
      <c r="BN111" s="58" t="s">
        <v>117</v>
      </c>
      <c r="BO111" s="58" t="s">
        <v>118</v>
      </c>
      <c r="BP111" s="58">
        <f>BP106+BP110</f>
        <v>20.071811645920036</v>
      </c>
      <c r="BQ111" s="58" t="s">
        <v>29</v>
      </c>
    </row>
    <row r="112" spans="66:76">
      <c r="BN112" s="58" t="s">
        <v>120</v>
      </c>
      <c r="BO112" s="58" t="s">
        <v>121</v>
      </c>
      <c r="BP112" s="58">
        <f>BP111+(IF($G$29="",$BW$63,$BW$73)^2/(2*9.81))</f>
        <v>20.238942316089911</v>
      </c>
      <c r="BQ112" s="58" t="s">
        <v>29</v>
      </c>
    </row>
    <row r="114" spans="66:69">
      <c r="BN114" s="58" t="s">
        <v>152</v>
      </c>
    </row>
    <row r="115" spans="66:69">
      <c r="BN115" s="58" t="s">
        <v>123</v>
      </c>
      <c r="BO115" s="58" t="s">
        <v>124</v>
      </c>
      <c r="BP115" s="60">
        <f>$M$29*10^-3</f>
        <v>5.9999999999999995E-4</v>
      </c>
      <c r="BQ115" s="58" t="s">
        <v>64</v>
      </c>
    </row>
    <row r="116" spans="66:69">
      <c r="BN116" s="58" t="s">
        <v>125</v>
      </c>
      <c r="BO116" s="58" t="s">
        <v>126</v>
      </c>
      <c r="BP116" s="58">
        <f>1.31*10^-6</f>
        <v>1.31E-6</v>
      </c>
      <c r="BQ116" s="58" t="s">
        <v>139</v>
      </c>
    </row>
    <row r="117" spans="66:69">
      <c r="BN117" s="58" t="s">
        <v>127</v>
      </c>
      <c r="BO117" s="58" t="s">
        <v>128</v>
      </c>
      <c r="BP117" s="58">
        <f>($BW$73*$BW$68/BP116)</f>
        <v>518367.24467589328</v>
      </c>
    </row>
    <row r="118" spans="66:69">
      <c r="BN118" s="58" t="s">
        <v>129</v>
      </c>
      <c r="BO118" s="58" t="s">
        <v>130</v>
      </c>
      <c r="BP118" s="58">
        <f>(1/(-2*LOG10((BP115/(3.7*$BW$68)))+(5.1286/BP117^0.89)))^2</f>
        <v>2.2090294096760582E-2</v>
      </c>
      <c r="BQ118" s="62"/>
    </row>
    <row r="119" spans="66:69">
      <c r="BN119" s="58" t="s">
        <v>131</v>
      </c>
      <c r="BO119" s="58" t="s">
        <v>132</v>
      </c>
      <c r="BP119" s="58">
        <f>BP118*$BW$73^2/(2*9.81*$BW$68)</f>
        <v>9.8452417510433259E-3</v>
      </c>
      <c r="BQ119" s="58" t="s">
        <v>29</v>
      </c>
    </row>
    <row r="120" spans="66:69">
      <c r="BN120" s="58" t="s">
        <v>133</v>
      </c>
      <c r="BO120" s="58" t="s">
        <v>134</v>
      </c>
      <c r="BP120" s="58">
        <f>BP119*$BW$70</f>
        <v>0.49226208755216627</v>
      </c>
      <c r="BQ120" s="58" t="s">
        <v>29</v>
      </c>
    </row>
    <row r="121" spans="66:69">
      <c r="BN121" s="58" t="s">
        <v>135</v>
      </c>
      <c r="BO121" s="58" t="s">
        <v>136</v>
      </c>
      <c r="BP121" s="58">
        <f>BP112+BP120</f>
        <v>20.731204403642078</v>
      </c>
      <c r="BQ121" s="58" t="s">
        <v>29</v>
      </c>
    </row>
    <row r="122" spans="66:69">
      <c r="BN122" s="58" t="s">
        <v>137</v>
      </c>
      <c r="BO122" s="58" t="s">
        <v>138</v>
      </c>
      <c r="BP122" s="58">
        <f>BP121-$BW$73^2/(2*9.81)</f>
        <v>20.564073733472203</v>
      </c>
      <c r="BQ122" s="58" t="s">
        <v>29</v>
      </c>
    </row>
    <row r="124" spans="66:69">
      <c r="BN124" s="58" t="s">
        <v>153</v>
      </c>
    </row>
    <row r="125" spans="66:69">
      <c r="BN125" s="58" t="s">
        <v>113</v>
      </c>
      <c r="BO125" s="58" t="s">
        <v>115</v>
      </c>
      <c r="BP125" s="63">
        <f>$AF$29</f>
        <v>1</v>
      </c>
    </row>
    <row r="126" spans="66:69">
      <c r="BN126" s="58" t="s">
        <v>114</v>
      </c>
      <c r="BO126" s="58" t="s">
        <v>116</v>
      </c>
      <c r="BP126" s="58">
        <f>BP125*($BW$73^2/(2*9.81))</f>
        <v>0.16713067016987576</v>
      </c>
    </row>
    <row r="127" spans="66:69">
      <c r="BN127" s="58" t="s">
        <v>117</v>
      </c>
      <c r="BO127" s="58" t="s">
        <v>118</v>
      </c>
      <c r="BP127" s="58">
        <f>BP122+BP126</f>
        <v>20.731204403642078</v>
      </c>
      <c r="BQ127" s="58" t="s">
        <v>29</v>
      </c>
    </row>
    <row r="128" spans="66:69">
      <c r="BN128" s="58" t="s">
        <v>120</v>
      </c>
      <c r="BO128" s="58" t="s">
        <v>121</v>
      </c>
      <c r="BP128" s="58">
        <f>BP127+(IF($G$30="",$BW$73,$BW$83)^2/(2*9.81))</f>
        <v>20.898335073811953</v>
      </c>
      <c r="BQ128" s="58" t="s">
        <v>29</v>
      </c>
    </row>
    <row r="130" spans="66:69">
      <c r="BN130" s="58" t="s">
        <v>154</v>
      </c>
    </row>
    <row r="131" spans="66:69">
      <c r="BN131" s="58" t="s">
        <v>123</v>
      </c>
      <c r="BO131" s="58" t="s">
        <v>124</v>
      </c>
      <c r="BP131" s="60">
        <f>$M$30*10^-3</f>
        <v>5.9999999999999995E-4</v>
      </c>
      <c r="BQ131" s="58" t="s">
        <v>64</v>
      </c>
    </row>
    <row r="132" spans="66:69">
      <c r="BN132" s="58" t="s">
        <v>125</v>
      </c>
      <c r="BO132" s="58" t="s">
        <v>126</v>
      </c>
      <c r="BP132" s="58">
        <f>1.31*10^-6</f>
        <v>1.31E-6</v>
      </c>
      <c r="BQ132" s="58" t="s">
        <v>139</v>
      </c>
    </row>
    <row r="133" spans="66:69">
      <c r="BN133" s="58" t="s">
        <v>127</v>
      </c>
      <c r="BO133" s="58" t="s">
        <v>128</v>
      </c>
      <c r="BP133" s="58">
        <f>($BW$83*$BW$78/BP132)</f>
        <v>518367.24467589328</v>
      </c>
    </row>
    <row r="134" spans="66:69">
      <c r="BN134" s="58" t="s">
        <v>129</v>
      </c>
      <c r="BO134" s="58" t="s">
        <v>130</v>
      </c>
      <c r="BP134" s="58">
        <f>(1/(-2*LOG10((BP131/(3.7*$BW$78)))+(5.1286/BP133^0.89)))^2</f>
        <v>2.2090294096760582E-2</v>
      </c>
      <c r="BQ134" s="62"/>
    </row>
    <row r="135" spans="66:69">
      <c r="BN135" s="58" t="s">
        <v>131</v>
      </c>
      <c r="BO135" s="58" t="s">
        <v>132</v>
      </c>
      <c r="BP135" s="58">
        <f>BP134*$BW$83^2/(2*9.81*$BW$78)</f>
        <v>9.8452417510433259E-3</v>
      </c>
      <c r="BQ135" s="58" t="s">
        <v>29</v>
      </c>
    </row>
    <row r="136" spans="66:69">
      <c r="BN136" s="58" t="s">
        <v>133</v>
      </c>
      <c r="BO136" s="58" t="s">
        <v>134</v>
      </c>
      <c r="BP136" s="58">
        <f>BP135*$BW$80</f>
        <v>0.49226208755216627</v>
      </c>
      <c r="BQ136" s="58" t="s">
        <v>29</v>
      </c>
    </row>
    <row r="137" spans="66:69">
      <c r="BN137" s="58" t="s">
        <v>135</v>
      </c>
      <c r="BO137" s="58" t="s">
        <v>136</v>
      </c>
      <c r="BP137" s="58">
        <f>BP128+BP136</f>
        <v>21.39059716136412</v>
      </c>
      <c r="BQ137" s="58" t="s">
        <v>29</v>
      </c>
    </row>
    <row r="138" spans="66:69">
      <c r="BN138" s="58" t="s">
        <v>137</v>
      </c>
      <c r="BO138" s="58" t="s">
        <v>138</v>
      </c>
      <c r="BP138" s="58">
        <f>BP137-$BW$83^2/(2*9.81)</f>
        <v>21.223466491194245</v>
      </c>
      <c r="BQ138" s="58" t="s">
        <v>29</v>
      </c>
    </row>
    <row r="140" spans="66:69">
      <c r="BN140" s="58" t="s">
        <v>155</v>
      </c>
    </row>
    <row r="141" spans="66:69">
      <c r="BN141" s="58" t="s">
        <v>113</v>
      </c>
      <c r="BO141" s="58" t="s">
        <v>115</v>
      </c>
      <c r="BP141" s="63">
        <f>$AF$30</f>
        <v>1</v>
      </c>
    </row>
    <row r="142" spans="66:69">
      <c r="BN142" s="58" t="s">
        <v>114</v>
      </c>
      <c r="BO142" s="58" t="s">
        <v>116</v>
      </c>
      <c r="BP142" s="58">
        <f>BP141*($BW$83^2/(2*9.81))</f>
        <v>0.16713067016987576</v>
      </c>
    </row>
    <row r="143" spans="66:69">
      <c r="BN143" s="58" t="s">
        <v>117</v>
      </c>
      <c r="BO143" s="58" t="s">
        <v>118</v>
      </c>
      <c r="BP143" s="58">
        <f>BP138+BP142</f>
        <v>21.39059716136412</v>
      </c>
      <c r="BQ143" s="58" t="s">
        <v>29</v>
      </c>
    </row>
    <row r="144" spans="66:69">
      <c r="BN144" s="58" t="s">
        <v>120</v>
      </c>
      <c r="BO144" s="58" t="s">
        <v>121</v>
      </c>
      <c r="BP144" s="58">
        <f>BP143+(IF($G$31="",$BW$83,$BW$93)^2/(2*9.81))</f>
        <v>21.557727831533995</v>
      </c>
      <c r="BQ144" s="58" t="s">
        <v>29</v>
      </c>
    </row>
    <row r="146" spans="66:69">
      <c r="BN146" s="58" t="s">
        <v>156</v>
      </c>
    </row>
    <row r="147" spans="66:69">
      <c r="BN147" s="58" t="s">
        <v>123</v>
      </c>
      <c r="BO147" s="58" t="s">
        <v>124</v>
      </c>
      <c r="BP147" s="60">
        <f>$M$31*10^-3</f>
        <v>5.9999999999999995E-4</v>
      </c>
      <c r="BQ147" s="58" t="s">
        <v>64</v>
      </c>
    </row>
    <row r="148" spans="66:69">
      <c r="BN148" s="58" t="s">
        <v>125</v>
      </c>
      <c r="BO148" s="58" t="s">
        <v>126</v>
      </c>
      <c r="BP148" s="58">
        <f>1.31*10^-6</f>
        <v>1.31E-6</v>
      </c>
      <c r="BQ148" s="58" t="s">
        <v>139</v>
      </c>
    </row>
    <row r="149" spans="66:69">
      <c r="BN149" s="58" t="s">
        <v>127</v>
      </c>
      <c r="BO149" s="58" t="s">
        <v>128</v>
      </c>
      <c r="BP149" s="58">
        <f>($BW$93*$BW$88/BP148)</f>
        <v>518367.24467589328</v>
      </c>
    </row>
    <row r="150" spans="66:69">
      <c r="BN150" s="58" t="s">
        <v>129</v>
      </c>
      <c r="BO150" s="58" t="s">
        <v>130</v>
      </c>
      <c r="BP150" s="58">
        <f>(1/(-2*LOG10((BP147/(3.7*$BW$88)))+(5.1286/BP149^0.89)))^2</f>
        <v>2.2090294096760582E-2</v>
      </c>
      <c r="BQ150" s="62"/>
    </row>
    <row r="151" spans="66:69">
      <c r="BN151" s="58" t="s">
        <v>131</v>
      </c>
      <c r="BO151" s="58" t="s">
        <v>132</v>
      </c>
      <c r="BP151" s="58">
        <f>BP150*$BW$93^2/(2*9.81*$BW$88)</f>
        <v>9.8452417510433259E-3</v>
      </c>
      <c r="BQ151" s="58" t="s">
        <v>29</v>
      </c>
    </row>
    <row r="152" spans="66:69">
      <c r="BN152" s="58" t="s">
        <v>133</v>
      </c>
      <c r="BO152" s="58" t="s">
        <v>134</v>
      </c>
      <c r="BP152" s="58">
        <f>BP151*$BW$90</f>
        <v>0.49226208755216627</v>
      </c>
      <c r="BQ152" s="58" t="s">
        <v>29</v>
      </c>
    </row>
    <row r="153" spans="66:69">
      <c r="BN153" s="58" t="s">
        <v>135</v>
      </c>
      <c r="BO153" s="58" t="s">
        <v>136</v>
      </c>
      <c r="BP153" s="58">
        <f>BP144+BP152</f>
        <v>22.049989919086162</v>
      </c>
      <c r="BQ153" s="58" t="s">
        <v>29</v>
      </c>
    </row>
    <row r="154" spans="66:69">
      <c r="BN154" s="58" t="s">
        <v>137</v>
      </c>
      <c r="BO154" s="58" t="s">
        <v>138</v>
      </c>
      <c r="BP154" s="58">
        <f>BP153-$BW$93^2/(2*9.81)</f>
        <v>21.882859248916287</v>
      </c>
      <c r="BQ154" s="58" t="s">
        <v>29</v>
      </c>
    </row>
    <row r="156" spans="66:69">
      <c r="BN156" s="58" t="s">
        <v>157</v>
      </c>
    </row>
    <row r="157" spans="66:69">
      <c r="BN157" s="58" t="s">
        <v>113</v>
      </c>
      <c r="BO157" s="58" t="s">
        <v>115</v>
      </c>
      <c r="BP157" s="63">
        <f>$AF$31</f>
        <v>1</v>
      </c>
    </row>
    <row r="158" spans="66:69">
      <c r="BN158" s="58" t="s">
        <v>114</v>
      </c>
      <c r="BO158" s="58" t="s">
        <v>116</v>
      </c>
      <c r="BP158" s="58">
        <f>BP157*($BW$93^2/(2*9.81))</f>
        <v>0.16713067016987576</v>
      </c>
    </row>
    <row r="159" spans="66:69">
      <c r="BN159" s="58" t="s">
        <v>117</v>
      </c>
      <c r="BO159" s="58" t="s">
        <v>118</v>
      </c>
      <c r="BP159" s="58">
        <f>BP154+BP158</f>
        <v>22.049989919086162</v>
      </c>
      <c r="BQ159" s="58" t="s">
        <v>29</v>
      </c>
    </row>
    <row r="160" spans="66:69">
      <c r="BN160" s="58" t="s">
        <v>120</v>
      </c>
      <c r="BO160" s="58" t="s">
        <v>121</v>
      </c>
      <c r="BP160" s="58">
        <f>BP159+(IF($G$32="",$BW$93,$BW$103)^2/(2*9.81))</f>
        <v>22.217120589256037</v>
      </c>
      <c r="BQ160" s="58" t="s">
        <v>29</v>
      </c>
    </row>
    <row r="162" spans="66:69">
      <c r="BN162" s="58" t="s">
        <v>158</v>
      </c>
    </row>
    <row r="163" spans="66:69">
      <c r="BN163" s="58" t="s">
        <v>123</v>
      </c>
      <c r="BO163" s="58" t="s">
        <v>124</v>
      </c>
      <c r="BP163" s="60">
        <f>$M$32*10^-3</f>
        <v>5.9999999999999995E-4</v>
      </c>
      <c r="BQ163" s="58" t="s">
        <v>64</v>
      </c>
    </row>
    <row r="164" spans="66:69">
      <c r="BN164" s="58" t="s">
        <v>125</v>
      </c>
      <c r="BO164" s="58" t="s">
        <v>126</v>
      </c>
      <c r="BP164" s="58">
        <f>1.31*10^-6</f>
        <v>1.31E-6</v>
      </c>
      <c r="BQ164" s="58" t="s">
        <v>139</v>
      </c>
    </row>
    <row r="165" spans="66:69">
      <c r="BN165" s="58" t="s">
        <v>127</v>
      </c>
      <c r="BO165" s="58" t="s">
        <v>128</v>
      </c>
      <c r="BP165" s="58">
        <f>($BW$103*$BW$98/BP164)</f>
        <v>518367.24467589328</v>
      </c>
    </row>
    <row r="166" spans="66:69">
      <c r="BN166" s="58" t="s">
        <v>129</v>
      </c>
      <c r="BO166" s="58" t="s">
        <v>130</v>
      </c>
      <c r="BP166" s="58">
        <f>(1/(-2*LOG10((BP163/(3.7*$BW$98)))+(5.1286/BP165^0.89)))^2</f>
        <v>2.2090294096760582E-2</v>
      </c>
      <c r="BQ166" s="62"/>
    </row>
    <row r="167" spans="66:69">
      <c r="BN167" s="58" t="s">
        <v>131</v>
      </c>
      <c r="BO167" s="58" t="s">
        <v>132</v>
      </c>
      <c r="BP167" s="58">
        <f>BP166*$BW$103^2/(2*9.81*$BW$98)</f>
        <v>9.8452417510433259E-3</v>
      </c>
      <c r="BQ167" s="58" t="s">
        <v>29</v>
      </c>
    </row>
    <row r="168" spans="66:69">
      <c r="BN168" s="58" t="s">
        <v>133</v>
      </c>
      <c r="BO168" s="58" t="s">
        <v>134</v>
      </c>
      <c r="BP168" s="58">
        <f>BP167*$BW$100</f>
        <v>0.49226208755216627</v>
      </c>
      <c r="BQ168" s="58" t="s">
        <v>29</v>
      </c>
    </row>
    <row r="169" spans="66:69">
      <c r="BN169" s="58" t="s">
        <v>135</v>
      </c>
      <c r="BO169" s="58" t="s">
        <v>136</v>
      </c>
      <c r="BP169" s="58">
        <f>BP160+BP168</f>
        <v>22.709382676808204</v>
      </c>
      <c r="BQ169" s="58" t="s">
        <v>29</v>
      </c>
    </row>
    <row r="170" spans="66:69">
      <c r="BN170" s="58" t="s">
        <v>137</v>
      </c>
      <c r="BO170" s="58" t="s">
        <v>138</v>
      </c>
      <c r="BP170" s="58">
        <f>BP169-$BW$103^2/(2*9.81)</f>
        <v>22.542252006638329</v>
      </c>
      <c r="BQ170" s="58" t="s">
        <v>29</v>
      </c>
    </row>
    <row r="172" spans="66:69">
      <c r="BN172" s="58" t="s">
        <v>159</v>
      </c>
    </row>
    <row r="173" spans="66:69">
      <c r="BN173" s="58" t="s">
        <v>113</v>
      </c>
      <c r="BO173" s="58" t="s">
        <v>115</v>
      </c>
      <c r="BP173" s="63">
        <f>$AF$32</f>
        <v>1</v>
      </c>
    </row>
    <row r="174" spans="66:69">
      <c r="BN174" s="58" t="s">
        <v>114</v>
      </c>
      <c r="BO174" s="58" t="s">
        <v>116</v>
      </c>
      <c r="BP174" s="58">
        <f>BP173*($BW$103^2/(2*9.81))</f>
        <v>0.16713067016987576</v>
      </c>
    </row>
    <row r="175" spans="66:69">
      <c r="BN175" s="58" t="s">
        <v>117</v>
      </c>
      <c r="BO175" s="58" t="s">
        <v>118</v>
      </c>
      <c r="BP175" s="58">
        <f>BP170+BP174</f>
        <v>22.709382676808204</v>
      </c>
      <c r="BQ175" s="58" t="s">
        <v>29</v>
      </c>
    </row>
    <row r="176" spans="66:69">
      <c r="BN176" s="58" t="s">
        <v>120</v>
      </c>
      <c r="BO176" s="58" t="s">
        <v>121</v>
      </c>
      <c r="BP176" s="58">
        <f>BP175+($BW$103^2/(2*9.81))</f>
        <v>22.876513346978079</v>
      </c>
      <c r="BQ176" s="58" t="s">
        <v>29</v>
      </c>
    </row>
  </sheetData>
  <sheetProtection algorithmName="SHA-512" hashValue="zBQruXl+TNIXu8t9SOcYipLyNNVn1ElfiqvHoE7GoPjmPE76g82jKIv+euRVMcLz2NFGBKNI4hK03L3sIBAWCQ==" saltValue="xjuOCYYgc7CulyBJopYdLg==" spinCount="100000" sheet="1" objects="1" scenarios="1" selectLockedCells="1"/>
  <mergeCells count="315">
    <mergeCell ref="B1:F1"/>
    <mergeCell ref="G1:AE1"/>
    <mergeCell ref="AB9:AD9"/>
    <mergeCell ref="Y9:AA9"/>
    <mergeCell ref="W9:X9"/>
    <mergeCell ref="B2:F5"/>
    <mergeCell ref="G2:L2"/>
    <mergeCell ref="M2:AE2"/>
    <mergeCell ref="AF2:AJ2"/>
    <mergeCell ref="G3:L3"/>
    <mergeCell ref="M3:AE3"/>
    <mergeCell ref="AF3:AJ3"/>
    <mergeCell ref="G4:AE4"/>
    <mergeCell ref="AF4:AJ4"/>
    <mergeCell ref="G5:L5"/>
    <mergeCell ref="M5:S5"/>
    <mergeCell ref="T5:Y5"/>
    <mergeCell ref="AF1:AJ1"/>
    <mergeCell ref="M23:N23"/>
    <mergeCell ref="M24:N24"/>
    <mergeCell ref="K21:L22"/>
    <mergeCell ref="K23:L23"/>
    <mergeCell ref="H9:V9"/>
    <mergeCell ref="Z5:AE5"/>
    <mergeCell ref="AF5:AJ5"/>
    <mergeCell ref="W12:X12"/>
    <mergeCell ref="Y12:AA12"/>
    <mergeCell ref="AB12:AD12"/>
    <mergeCell ref="H10:V10"/>
    <mergeCell ref="H11:V11"/>
    <mergeCell ref="H12:V12"/>
    <mergeCell ref="W10:X10"/>
    <mergeCell ref="Y10:AA10"/>
    <mergeCell ref="AB10:AD10"/>
    <mergeCell ref="W11:X11"/>
    <mergeCell ref="Y11:AA11"/>
    <mergeCell ref="AB11:AD11"/>
    <mergeCell ref="G21:H22"/>
    <mergeCell ref="G23:H23"/>
    <mergeCell ref="G24:H24"/>
    <mergeCell ref="H16:V16"/>
    <mergeCell ref="G25:H25"/>
    <mergeCell ref="G26:H26"/>
    <mergeCell ref="G27:H27"/>
    <mergeCell ref="G28:H28"/>
    <mergeCell ref="W16:AD16"/>
    <mergeCell ref="H17:V17"/>
    <mergeCell ref="W17:X17"/>
    <mergeCell ref="Y17:AA17"/>
    <mergeCell ref="AB17:AD17"/>
    <mergeCell ref="H18:V18"/>
    <mergeCell ref="W18:X18"/>
    <mergeCell ref="Q23:S23"/>
    <mergeCell ref="Q21:S22"/>
    <mergeCell ref="O21:P22"/>
    <mergeCell ref="O23:P23"/>
    <mergeCell ref="O24:P24"/>
    <mergeCell ref="AB19:AD19"/>
    <mergeCell ref="I21:J22"/>
    <mergeCell ref="I23:J23"/>
    <mergeCell ref="I24:J24"/>
    <mergeCell ref="M21:N22"/>
    <mergeCell ref="K24:L24"/>
    <mergeCell ref="K25:L25"/>
    <mergeCell ref="K26:L26"/>
    <mergeCell ref="E21:F22"/>
    <mergeCell ref="E25:F25"/>
    <mergeCell ref="E26:F26"/>
    <mergeCell ref="E27:F27"/>
    <mergeCell ref="E28:F28"/>
    <mergeCell ref="E29:F29"/>
    <mergeCell ref="E30:F30"/>
    <mergeCell ref="E31:F31"/>
    <mergeCell ref="E32:F32"/>
    <mergeCell ref="E23:F23"/>
    <mergeCell ref="E24:F24"/>
    <mergeCell ref="K27:L27"/>
    <mergeCell ref="K28:L28"/>
    <mergeCell ref="K29:L29"/>
    <mergeCell ref="G29:H29"/>
    <mergeCell ref="G30:H30"/>
    <mergeCell ref="G31:H31"/>
    <mergeCell ref="AF29:AG29"/>
    <mergeCell ref="M30:N30"/>
    <mergeCell ref="M31:N31"/>
    <mergeCell ref="O31:P31"/>
    <mergeCell ref="M25:N25"/>
    <mergeCell ref="M26:N26"/>
    <mergeCell ref="M27:N27"/>
    <mergeCell ref="T32:U32"/>
    <mergeCell ref="Q25:S25"/>
    <mergeCell ref="Q26:S26"/>
    <mergeCell ref="Q27:S27"/>
    <mergeCell ref="Q28:S28"/>
    <mergeCell ref="T25:U25"/>
    <mergeCell ref="T26:U26"/>
    <mergeCell ref="T27:U27"/>
    <mergeCell ref="T28:U28"/>
    <mergeCell ref="T31:U31"/>
    <mergeCell ref="M28:N28"/>
    <mergeCell ref="M29:N29"/>
    <mergeCell ref="O25:P25"/>
    <mergeCell ref="O26:P26"/>
    <mergeCell ref="O27:P27"/>
    <mergeCell ref="T30:U30"/>
    <mergeCell ref="H45:J45"/>
    <mergeCell ref="P40:R40"/>
    <mergeCell ref="P41:R41"/>
    <mergeCell ref="T23:U23"/>
    <mergeCell ref="T24:U24"/>
    <mergeCell ref="AF30:AG30"/>
    <mergeCell ref="AF21:AG22"/>
    <mergeCell ref="AF23:AG23"/>
    <mergeCell ref="AF24:AG24"/>
    <mergeCell ref="AF25:AG25"/>
    <mergeCell ref="V27:AE27"/>
    <mergeCell ref="V28:AE28"/>
    <mergeCell ref="V29:AE29"/>
    <mergeCell ref="V30:AE30"/>
    <mergeCell ref="AF31:AG31"/>
    <mergeCell ref="AF32:AG32"/>
    <mergeCell ref="V23:AE23"/>
    <mergeCell ref="V24:AE24"/>
    <mergeCell ref="V25:AE25"/>
    <mergeCell ref="V26:AE26"/>
    <mergeCell ref="AF26:AG26"/>
    <mergeCell ref="AF27:AG27"/>
    <mergeCell ref="AF28:AG28"/>
    <mergeCell ref="T29:U29"/>
    <mergeCell ref="H53:J53"/>
    <mergeCell ref="H42:J42"/>
    <mergeCell ref="H43:J43"/>
    <mergeCell ref="H44:J44"/>
    <mergeCell ref="H50:J51"/>
    <mergeCell ref="V31:AE31"/>
    <mergeCell ref="Y19:AA19"/>
    <mergeCell ref="Y18:AA18"/>
    <mergeCell ref="AB18:AD18"/>
    <mergeCell ref="I30:J30"/>
    <mergeCell ref="I31:J31"/>
    <mergeCell ref="I32:J32"/>
    <mergeCell ref="K31:L31"/>
    <mergeCell ref="K32:L32"/>
    <mergeCell ref="I25:J25"/>
    <mergeCell ref="I26:J26"/>
    <mergeCell ref="I27:J27"/>
    <mergeCell ref="I28:J28"/>
    <mergeCell ref="I29:J29"/>
    <mergeCell ref="Q24:S24"/>
    <mergeCell ref="K30:L30"/>
    <mergeCell ref="O28:P28"/>
    <mergeCell ref="O29:P29"/>
    <mergeCell ref="O30:P30"/>
    <mergeCell ref="H54:J54"/>
    <mergeCell ref="H19:V19"/>
    <mergeCell ref="W19:X19"/>
    <mergeCell ref="V32:AE32"/>
    <mergeCell ref="V21:AE22"/>
    <mergeCell ref="Q29:S29"/>
    <mergeCell ref="Q30:S30"/>
    <mergeCell ref="Q31:S31"/>
    <mergeCell ref="Q32:S32"/>
    <mergeCell ref="T21:U22"/>
    <mergeCell ref="K47:L47"/>
    <mergeCell ref="K48:L48"/>
    <mergeCell ref="M36:O37"/>
    <mergeCell ref="M38:O38"/>
    <mergeCell ref="M39:O39"/>
    <mergeCell ref="M40:O40"/>
    <mergeCell ref="M41:O41"/>
    <mergeCell ref="M42:O42"/>
    <mergeCell ref="M43:O43"/>
    <mergeCell ref="M44:O44"/>
    <mergeCell ref="H46:J46"/>
    <mergeCell ref="H47:J47"/>
    <mergeCell ref="H48:J48"/>
    <mergeCell ref="H52:J52"/>
    <mergeCell ref="K40:L40"/>
    <mergeCell ref="K41:L41"/>
    <mergeCell ref="H38:J38"/>
    <mergeCell ref="H39:J39"/>
    <mergeCell ref="H40:J40"/>
    <mergeCell ref="H41:J41"/>
    <mergeCell ref="S39:U39"/>
    <mergeCell ref="S40:U40"/>
    <mergeCell ref="G32:H32"/>
    <mergeCell ref="S41:U41"/>
    <mergeCell ref="H36:J37"/>
    <mergeCell ref="P36:R37"/>
    <mergeCell ref="P38:R38"/>
    <mergeCell ref="P39:R39"/>
    <mergeCell ref="K36:L37"/>
    <mergeCell ref="K38:L38"/>
    <mergeCell ref="K39:L39"/>
    <mergeCell ref="M32:N32"/>
    <mergeCell ref="O32:P32"/>
    <mergeCell ref="K52:M52"/>
    <mergeCell ref="N52:P52"/>
    <mergeCell ref="Q52:S52"/>
    <mergeCell ref="M48:O48"/>
    <mergeCell ref="K42:L42"/>
    <mergeCell ref="K43:L43"/>
    <mergeCell ref="K44:L44"/>
    <mergeCell ref="K45:L45"/>
    <mergeCell ref="K46:L46"/>
    <mergeCell ref="P44:R44"/>
    <mergeCell ref="P45:R45"/>
    <mergeCell ref="P46:R46"/>
    <mergeCell ref="M45:O45"/>
    <mergeCell ref="M46:O46"/>
    <mergeCell ref="M47:O47"/>
    <mergeCell ref="K50:M51"/>
    <mergeCell ref="N50:P51"/>
    <mergeCell ref="Q50:S51"/>
    <mergeCell ref="S42:U42"/>
    <mergeCell ref="S43:U43"/>
    <mergeCell ref="S44:U44"/>
    <mergeCell ref="S45:U45"/>
    <mergeCell ref="P42:R42"/>
    <mergeCell ref="P43:R43"/>
    <mergeCell ref="P47:R47"/>
    <mergeCell ref="P48:R48"/>
    <mergeCell ref="S36:U37"/>
    <mergeCell ref="S38:U38"/>
    <mergeCell ref="AF43:AJ43"/>
    <mergeCell ref="AF44:AJ44"/>
    <mergeCell ref="AF45:AJ45"/>
    <mergeCell ref="AF47:AJ47"/>
    <mergeCell ref="AF46:AJ46"/>
    <mergeCell ref="AF38:AJ38"/>
    <mergeCell ref="AF39:AJ39"/>
    <mergeCell ref="AF40:AJ40"/>
    <mergeCell ref="T50:V51"/>
    <mergeCell ref="W52:Y52"/>
    <mergeCell ref="T52:V52"/>
    <mergeCell ref="Z54:AB54"/>
    <mergeCell ref="AF54:AJ54"/>
    <mergeCell ref="W50:Y51"/>
    <mergeCell ref="Z50:AB51"/>
    <mergeCell ref="AF48:AJ48"/>
    <mergeCell ref="AF41:AJ41"/>
    <mergeCell ref="AF42:AJ42"/>
    <mergeCell ref="S46:U46"/>
    <mergeCell ref="S47:U47"/>
    <mergeCell ref="S48:U48"/>
    <mergeCell ref="Z52:AB52"/>
    <mergeCell ref="AF52:AJ52"/>
    <mergeCell ref="K54:M54"/>
    <mergeCell ref="N54:P54"/>
    <mergeCell ref="Q54:S54"/>
    <mergeCell ref="W53:Y53"/>
    <mergeCell ref="T53:V53"/>
    <mergeCell ref="Z53:AB53"/>
    <mergeCell ref="AF53:AJ53"/>
    <mergeCell ref="K53:M53"/>
    <mergeCell ref="Q55:S55"/>
    <mergeCell ref="W54:Y54"/>
    <mergeCell ref="T54:V54"/>
    <mergeCell ref="N53:P53"/>
    <mergeCell ref="Q53:S53"/>
    <mergeCell ref="Q56:S56"/>
    <mergeCell ref="H55:J55"/>
    <mergeCell ref="W55:Y55"/>
    <mergeCell ref="T55:V55"/>
    <mergeCell ref="Z55:AB55"/>
    <mergeCell ref="AF55:AJ55"/>
    <mergeCell ref="H56:J56"/>
    <mergeCell ref="W56:Y56"/>
    <mergeCell ref="T56:V56"/>
    <mergeCell ref="Z56:AB56"/>
    <mergeCell ref="AF56:AJ56"/>
    <mergeCell ref="K55:M55"/>
    <mergeCell ref="K56:M56"/>
    <mergeCell ref="N55:P55"/>
    <mergeCell ref="N56:P56"/>
    <mergeCell ref="AF61:AJ61"/>
    <mergeCell ref="K61:M61"/>
    <mergeCell ref="N61:P61"/>
    <mergeCell ref="Q61:S61"/>
    <mergeCell ref="H61:J61"/>
    <mergeCell ref="W61:Y61"/>
    <mergeCell ref="T61:V61"/>
    <mergeCell ref="Z61:AB61"/>
    <mergeCell ref="Q57:S57"/>
    <mergeCell ref="Q58:S58"/>
    <mergeCell ref="H57:J57"/>
    <mergeCell ref="W57:Y57"/>
    <mergeCell ref="T57:V57"/>
    <mergeCell ref="Z57:AB57"/>
    <mergeCell ref="AF57:AJ57"/>
    <mergeCell ref="H58:J58"/>
    <mergeCell ref="W58:Y58"/>
    <mergeCell ref="T58:V58"/>
    <mergeCell ref="Z58:AB58"/>
    <mergeCell ref="AF58:AJ58"/>
    <mergeCell ref="K57:M57"/>
    <mergeCell ref="K58:M58"/>
    <mergeCell ref="N57:P57"/>
    <mergeCell ref="N58:P58"/>
    <mergeCell ref="Q59:S59"/>
    <mergeCell ref="Q60:S60"/>
    <mergeCell ref="H59:J59"/>
    <mergeCell ref="W59:Y59"/>
    <mergeCell ref="T59:V59"/>
    <mergeCell ref="Z59:AB59"/>
    <mergeCell ref="AF59:AJ59"/>
    <mergeCell ref="H60:J60"/>
    <mergeCell ref="W60:Y60"/>
    <mergeCell ref="T60:V60"/>
    <mergeCell ref="Z60:AB60"/>
    <mergeCell ref="AF60:AJ60"/>
    <mergeCell ref="K59:M59"/>
    <mergeCell ref="K60:M60"/>
    <mergeCell ref="N59:P59"/>
    <mergeCell ref="N60:P60"/>
  </mergeCells>
  <conditionalFormatting sqref="AF38:AJ48 AF52:AJ61">
    <cfRule type="cellIs" dxfId="7" priority="1" operator="equal">
      <formula>"HGL Too High"</formula>
    </cfRule>
    <cfRule type="expression" dxfId="6" priority="2">
      <formula>#REF!="Too Small"</formula>
    </cfRule>
  </conditionalFormatting>
  <dataValidations count="2">
    <dataValidation type="list" allowBlank="1" showInputMessage="1" showErrorMessage="1" sqref="W16" xr:uid="{554DE850-244D-49C2-AB19-532B80D57360}">
      <formula1>$BC$29:$BC$32</formula1>
    </dataValidation>
    <dataValidation type="list" allowBlank="1" showInputMessage="1" showErrorMessage="1" sqref="V23:AD32" xr:uid="{617222C7-CD20-4292-96D2-A1D55FE1A55F}">
      <formula1>$BC$9:$BC$22</formula1>
    </dataValidation>
  </dataValidations>
  <pageMargins left="0.7" right="0.7" top="0.75" bottom="0.75" header="0.3" footer="0.3"/>
  <pageSetup paperSize="9" scale="67" orientation="portrait" r:id="rId1"/>
  <headerFooter>
    <oddHeader>&amp;C&amp;"-,Bold"&amp;UColebrook-White Calculation</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176"/>
  <sheetViews>
    <sheetView view="pageBreakPreview" topLeftCell="A7" zoomScale="90" zoomScaleNormal="55" zoomScaleSheetLayoutView="90" workbookViewId="0">
      <selection activeCell="V24" sqref="V24:AE25"/>
    </sheetView>
  </sheetViews>
  <sheetFormatPr defaultColWidth="9.109375" defaultRowHeight="14.4"/>
  <cols>
    <col min="1" max="1" width="1" style="58" customWidth="1"/>
    <col min="2" max="36" width="2.44140625" style="58" customWidth="1"/>
    <col min="37" max="37" width="9.109375" style="58" customWidth="1"/>
    <col min="38" max="38" width="37.44140625" style="58" bestFit="1" customWidth="1"/>
    <col min="39" max="54" width="9.109375" style="58" customWidth="1"/>
    <col min="55" max="55" width="39.109375" style="58" bestFit="1" customWidth="1"/>
    <col min="56" max="56" width="5.5546875" style="58" bestFit="1" customWidth="1"/>
    <col min="57" max="57" width="9.109375" style="58" customWidth="1"/>
    <col min="58" max="65" width="9.109375" style="58" hidden="1" customWidth="1"/>
    <col min="66" max="66" width="21.44140625" style="58" hidden="1" customWidth="1"/>
    <col min="67" max="72" width="9.109375" style="58" hidden="1" customWidth="1"/>
    <col min="73" max="73" width="17.5546875" style="58" hidden="1" customWidth="1"/>
    <col min="74" max="75" width="9.109375" style="58" hidden="1" customWidth="1"/>
    <col min="76" max="78" width="0" style="59" hidden="1" customWidth="1"/>
    <col min="79" max="16384" width="9.109375" style="59"/>
  </cols>
  <sheetData>
    <row r="1" spans="2:76" ht="15" thickBot="1">
      <c r="B1" s="142" t="s">
        <v>7</v>
      </c>
      <c r="C1" s="143"/>
      <c r="D1" s="143"/>
      <c r="E1" s="143"/>
      <c r="F1" s="143"/>
      <c r="G1" s="144" t="s">
        <v>237</v>
      </c>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2" t="s">
        <v>23</v>
      </c>
      <c r="AG1" s="143"/>
      <c r="AH1" s="143"/>
      <c r="AI1" s="143"/>
      <c r="AJ1" s="143"/>
    </row>
    <row r="2" spans="2:76">
      <c r="B2" s="202" t="s">
        <v>0</v>
      </c>
      <c r="C2" s="203"/>
      <c r="D2" s="203"/>
      <c r="E2" s="203"/>
      <c r="F2" s="204"/>
      <c r="G2" s="211" t="s">
        <v>1</v>
      </c>
      <c r="H2" s="212"/>
      <c r="I2" s="212"/>
      <c r="J2" s="212"/>
      <c r="K2" s="212"/>
      <c r="L2" s="212"/>
      <c r="M2" s="213"/>
      <c r="N2" s="214"/>
      <c r="O2" s="214"/>
      <c r="P2" s="214"/>
      <c r="Q2" s="214"/>
      <c r="R2" s="214"/>
      <c r="S2" s="214"/>
      <c r="T2" s="214"/>
      <c r="U2" s="214"/>
      <c r="V2" s="214"/>
      <c r="W2" s="214"/>
      <c r="X2" s="214"/>
      <c r="Y2" s="214"/>
      <c r="Z2" s="214"/>
      <c r="AA2" s="214"/>
      <c r="AB2" s="214"/>
      <c r="AC2" s="214"/>
      <c r="AD2" s="214"/>
      <c r="AE2" s="215"/>
      <c r="AF2" s="216" t="s">
        <v>2</v>
      </c>
      <c r="AG2" s="212"/>
      <c r="AH2" s="212"/>
      <c r="AI2" s="212"/>
      <c r="AJ2" s="217"/>
      <c r="AL2" s="58" t="s">
        <v>167</v>
      </c>
      <c r="AM2" s="58" t="s">
        <v>168</v>
      </c>
      <c r="BN2" s="58" t="s">
        <v>103</v>
      </c>
    </row>
    <row r="3" spans="2:76">
      <c r="B3" s="205"/>
      <c r="C3" s="206"/>
      <c r="D3" s="206"/>
      <c r="E3" s="206"/>
      <c r="F3" s="207"/>
      <c r="G3" s="157" t="s">
        <v>3</v>
      </c>
      <c r="H3" s="158"/>
      <c r="I3" s="158"/>
      <c r="J3" s="158"/>
      <c r="K3" s="158"/>
      <c r="L3" s="159"/>
      <c r="M3" s="160" t="s">
        <v>22</v>
      </c>
      <c r="N3" s="161"/>
      <c r="O3" s="161"/>
      <c r="P3" s="161"/>
      <c r="Q3" s="161"/>
      <c r="R3" s="161"/>
      <c r="S3" s="161"/>
      <c r="T3" s="161"/>
      <c r="U3" s="161"/>
      <c r="V3" s="161"/>
      <c r="W3" s="161"/>
      <c r="X3" s="161"/>
      <c r="Y3" s="161"/>
      <c r="Z3" s="161"/>
      <c r="AA3" s="161"/>
      <c r="AB3" s="161"/>
      <c r="AC3" s="161"/>
      <c r="AD3" s="161"/>
      <c r="AE3" s="162"/>
      <c r="AF3" s="173"/>
      <c r="AG3" s="158"/>
      <c r="AH3" s="158"/>
      <c r="AI3" s="158"/>
      <c r="AJ3" s="174"/>
      <c r="AL3" s="58" t="s">
        <v>46</v>
      </c>
      <c r="AM3" s="58">
        <v>0.5</v>
      </c>
      <c r="BN3" s="58" t="s">
        <v>99</v>
      </c>
      <c r="BO3" s="58" t="s">
        <v>27</v>
      </c>
      <c r="BP3" s="58">
        <f>Y9</f>
        <v>12.95</v>
      </c>
      <c r="BQ3" s="58" t="s">
        <v>29</v>
      </c>
    </row>
    <row r="4" spans="2:76">
      <c r="B4" s="205"/>
      <c r="C4" s="206"/>
      <c r="D4" s="206"/>
      <c r="E4" s="206"/>
      <c r="F4" s="207"/>
      <c r="G4" s="175" t="s">
        <v>25</v>
      </c>
      <c r="H4" s="176"/>
      <c r="I4" s="176"/>
      <c r="J4" s="176"/>
      <c r="K4" s="176"/>
      <c r="L4" s="176"/>
      <c r="M4" s="176"/>
      <c r="N4" s="176"/>
      <c r="O4" s="176"/>
      <c r="P4" s="176"/>
      <c r="Q4" s="176"/>
      <c r="R4" s="176"/>
      <c r="S4" s="176"/>
      <c r="T4" s="176"/>
      <c r="U4" s="176"/>
      <c r="V4" s="176"/>
      <c r="W4" s="176"/>
      <c r="X4" s="176"/>
      <c r="Y4" s="176"/>
      <c r="Z4" s="176"/>
      <c r="AA4" s="176"/>
      <c r="AB4" s="176"/>
      <c r="AC4" s="176"/>
      <c r="AD4" s="176"/>
      <c r="AE4" s="177"/>
      <c r="AF4" s="157" t="s">
        <v>4</v>
      </c>
      <c r="AG4" s="178"/>
      <c r="AH4" s="178"/>
      <c r="AI4" s="178"/>
      <c r="AJ4" s="179"/>
      <c r="AL4" s="58" t="s">
        <v>45</v>
      </c>
      <c r="AM4" s="58">
        <v>2</v>
      </c>
      <c r="BN4" s="58" t="s">
        <v>100</v>
      </c>
      <c r="BO4" s="58" t="s">
        <v>104</v>
      </c>
      <c r="BP4" s="58">
        <f>Y10</f>
        <v>20</v>
      </c>
      <c r="BQ4" s="58" t="s">
        <v>29</v>
      </c>
    </row>
    <row r="5" spans="2:76" ht="15" thickBot="1">
      <c r="B5" s="208"/>
      <c r="C5" s="209"/>
      <c r="D5" s="209"/>
      <c r="E5" s="209"/>
      <c r="F5" s="210"/>
      <c r="G5" s="180" t="s">
        <v>5</v>
      </c>
      <c r="H5" s="181"/>
      <c r="I5" s="181"/>
      <c r="J5" s="181"/>
      <c r="K5" s="181"/>
      <c r="L5" s="182"/>
      <c r="M5" s="183">
        <v>1</v>
      </c>
      <c r="N5" s="184"/>
      <c r="O5" s="184"/>
      <c r="P5" s="184"/>
      <c r="Q5" s="184"/>
      <c r="R5" s="184"/>
      <c r="S5" s="185"/>
      <c r="T5" s="186" t="s">
        <v>6</v>
      </c>
      <c r="U5" s="180"/>
      <c r="V5" s="180"/>
      <c r="W5" s="180"/>
      <c r="X5" s="180"/>
      <c r="Y5" s="187"/>
      <c r="Z5" s="245"/>
      <c r="AA5" s="184"/>
      <c r="AB5" s="184"/>
      <c r="AC5" s="184"/>
      <c r="AD5" s="184"/>
      <c r="AE5" s="246"/>
      <c r="AF5" s="247"/>
      <c r="AG5" s="184"/>
      <c r="AH5" s="184"/>
      <c r="AI5" s="184"/>
      <c r="AJ5" s="248"/>
      <c r="AL5" s="58" t="s">
        <v>47</v>
      </c>
      <c r="AM5" s="58">
        <v>0.8</v>
      </c>
      <c r="BN5" s="58" t="s">
        <v>101</v>
      </c>
      <c r="BO5" s="58" t="s">
        <v>105</v>
      </c>
      <c r="BP5" s="58">
        <f>Y11</f>
        <v>0.15</v>
      </c>
      <c r="BQ5" s="58" t="s">
        <v>29</v>
      </c>
    </row>
    <row r="6" spans="2:76">
      <c r="B6" s="3"/>
      <c r="C6" s="4"/>
      <c r="D6" s="4"/>
      <c r="E6" s="4"/>
      <c r="F6" s="5"/>
      <c r="G6" s="6"/>
      <c r="H6" s="7"/>
      <c r="I6" s="7"/>
      <c r="J6" s="7"/>
      <c r="K6" s="7"/>
      <c r="L6" s="7"/>
      <c r="M6" s="7"/>
      <c r="N6" s="7"/>
      <c r="O6" s="7"/>
      <c r="P6" s="7"/>
      <c r="Q6" s="7"/>
      <c r="R6" s="7"/>
      <c r="S6" s="7"/>
      <c r="T6" s="7"/>
      <c r="U6" s="7"/>
      <c r="V6" s="7"/>
      <c r="W6" s="7"/>
      <c r="X6" s="4"/>
      <c r="Y6" s="4"/>
      <c r="Z6" s="4"/>
      <c r="AA6" s="4"/>
      <c r="AB6" s="4"/>
      <c r="AC6" s="4"/>
      <c r="AD6" s="4"/>
      <c r="AE6" s="8"/>
      <c r="AF6" s="9"/>
      <c r="AG6" s="4"/>
      <c r="AH6" s="4"/>
      <c r="AI6" s="4"/>
      <c r="AJ6" s="10"/>
      <c r="AL6" s="58" t="s">
        <v>48</v>
      </c>
      <c r="AM6" s="58">
        <v>0.3</v>
      </c>
      <c r="BN6" s="58" t="s">
        <v>102</v>
      </c>
      <c r="BO6" s="58" t="s">
        <v>106</v>
      </c>
      <c r="BP6" s="58">
        <f>Y12</f>
        <v>0</v>
      </c>
      <c r="BQ6" s="58" t="s">
        <v>81</v>
      </c>
    </row>
    <row r="7" spans="2:76">
      <c r="B7" s="11"/>
      <c r="C7" s="12"/>
      <c r="D7" s="12"/>
      <c r="E7" s="12"/>
      <c r="F7" s="13"/>
      <c r="G7" s="14"/>
      <c r="H7" s="15" t="s">
        <v>24</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c r="AL7" s="58" t="s">
        <v>49</v>
      </c>
      <c r="AM7" s="58">
        <v>0.3</v>
      </c>
      <c r="BU7" s="58" t="s">
        <v>69</v>
      </c>
    </row>
    <row r="8" spans="2:76" ht="15" thickBot="1">
      <c r="B8" s="11"/>
      <c r="C8" s="12"/>
      <c r="D8" s="12"/>
      <c r="E8" s="12"/>
      <c r="F8" s="13"/>
      <c r="G8" s="14"/>
      <c r="H8" s="19"/>
      <c r="I8" s="19"/>
      <c r="J8" s="19"/>
      <c r="K8" s="19"/>
      <c r="L8" s="19"/>
      <c r="M8" s="19"/>
      <c r="N8" s="19"/>
      <c r="O8" s="19"/>
      <c r="P8" s="19"/>
      <c r="Q8" s="19"/>
      <c r="R8" s="19"/>
      <c r="S8" s="19"/>
      <c r="T8" s="19"/>
      <c r="U8" s="19"/>
      <c r="V8" s="19"/>
      <c r="W8" s="19"/>
      <c r="X8" s="19"/>
      <c r="Y8" s="19"/>
      <c r="Z8" s="19"/>
      <c r="AA8" s="19"/>
      <c r="AB8" s="19"/>
      <c r="AC8" s="19"/>
      <c r="AD8" s="19"/>
      <c r="AE8" s="16"/>
      <c r="AF8" s="17"/>
      <c r="AG8" s="12"/>
      <c r="AH8" s="12"/>
      <c r="AI8" s="12"/>
      <c r="AJ8" s="18"/>
      <c r="AL8" s="58" t="s">
        <v>50</v>
      </c>
      <c r="AM8" s="58">
        <v>0.3</v>
      </c>
      <c r="BN8" s="58" t="s">
        <v>111</v>
      </c>
      <c r="BU8" s="58" t="s">
        <v>70</v>
      </c>
      <c r="BV8" s="58" t="s">
        <v>82</v>
      </c>
      <c r="BW8" s="60">
        <f>$G$23</f>
        <v>0.6</v>
      </c>
      <c r="BX8" s="59" t="s">
        <v>29</v>
      </c>
    </row>
    <row r="9" spans="2:76" ht="15.6">
      <c r="B9" s="11"/>
      <c r="C9" s="12"/>
      <c r="D9" s="12"/>
      <c r="E9" s="12"/>
      <c r="F9" s="13"/>
      <c r="G9" s="14"/>
      <c r="H9" s="242" t="s">
        <v>26</v>
      </c>
      <c r="I9" s="243"/>
      <c r="J9" s="243"/>
      <c r="K9" s="243"/>
      <c r="L9" s="243"/>
      <c r="M9" s="243"/>
      <c r="N9" s="243"/>
      <c r="O9" s="243"/>
      <c r="P9" s="243"/>
      <c r="Q9" s="243"/>
      <c r="R9" s="243"/>
      <c r="S9" s="243"/>
      <c r="T9" s="243"/>
      <c r="U9" s="243"/>
      <c r="V9" s="244"/>
      <c r="W9" s="200" t="s">
        <v>28</v>
      </c>
      <c r="X9" s="201"/>
      <c r="Y9" s="251">
        <v>12.95</v>
      </c>
      <c r="Z9" s="252"/>
      <c r="AA9" s="253"/>
      <c r="AB9" s="254" t="s">
        <v>29</v>
      </c>
      <c r="AC9" s="243"/>
      <c r="AD9" s="255"/>
      <c r="AE9" s="14"/>
      <c r="AF9" s="17"/>
      <c r="AG9" s="12"/>
      <c r="AH9" s="12"/>
      <c r="AI9" s="12"/>
      <c r="AJ9" s="18"/>
      <c r="AL9" s="58" t="s">
        <v>51</v>
      </c>
      <c r="AM9" s="58">
        <v>0.3</v>
      </c>
      <c r="BN9" s="58" t="s">
        <v>107</v>
      </c>
      <c r="BO9" s="58" t="s">
        <v>108</v>
      </c>
      <c r="BP9" s="58">
        <f>BP3</f>
        <v>12.95</v>
      </c>
      <c r="BQ9" s="58" t="s">
        <v>29</v>
      </c>
      <c r="BU9" s="58" t="s">
        <v>71</v>
      </c>
      <c r="BV9" s="58" t="s">
        <v>83</v>
      </c>
      <c r="BW9" s="58">
        <f>PI()*(BW8/2)^2</f>
        <v>0.28274333882308139</v>
      </c>
      <c r="BX9" s="59" t="s">
        <v>78</v>
      </c>
    </row>
    <row r="10" spans="2:76" ht="15.6">
      <c r="B10" s="11"/>
      <c r="C10" s="12"/>
      <c r="D10" s="12"/>
      <c r="E10" s="12"/>
      <c r="F10" s="13"/>
      <c r="G10" s="14"/>
      <c r="H10" s="163" t="s">
        <v>30</v>
      </c>
      <c r="I10" s="146"/>
      <c r="J10" s="146"/>
      <c r="K10" s="146"/>
      <c r="L10" s="146"/>
      <c r="M10" s="146"/>
      <c r="N10" s="146"/>
      <c r="O10" s="146"/>
      <c r="P10" s="146"/>
      <c r="Q10" s="146"/>
      <c r="R10" s="146"/>
      <c r="S10" s="146"/>
      <c r="T10" s="146"/>
      <c r="U10" s="146"/>
      <c r="V10" s="164"/>
      <c r="W10" s="218" t="s">
        <v>31</v>
      </c>
      <c r="X10" s="219"/>
      <c r="Y10" s="154">
        <v>20</v>
      </c>
      <c r="Z10" s="155"/>
      <c r="AA10" s="156"/>
      <c r="AB10" s="145" t="s">
        <v>29</v>
      </c>
      <c r="AC10" s="146"/>
      <c r="AD10" s="147"/>
      <c r="AE10" s="14"/>
      <c r="AF10" s="17"/>
      <c r="AG10" s="12"/>
      <c r="AH10" s="12"/>
      <c r="AI10" s="12"/>
      <c r="AJ10" s="18"/>
      <c r="AL10" s="58" t="s">
        <v>52</v>
      </c>
      <c r="AM10" s="58">
        <v>1.2</v>
      </c>
      <c r="BN10" s="58" t="s">
        <v>109</v>
      </c>
      <c r="BO10" s="58" t="s">
        <v>110</v>
      </c>
      <c r="BP10" s="58">
        <f>BP9+(BP6^2/(2*9.81))</f>
        <v>12.95</v>
      </c>
      <c r="BQ10" s="58" t="s">
        <v>29</v>
      </c>
      <c r="BU10" s="58" t="s">
        <v>72</v>
      </c>
      <c r="BV10" s="58" t="s">
        <v>84</v>
      </c>
      <c r="BW10" s="61">
        <f>$I$23</f>
        <v>87</v>
      </c>
      <c r="BX10" s="59" t="s">
        <v>29</v>
      </c>
    </row>
    <row r="11" spans="2:76" ht="15.6">
      <c r="B11" s="11"/>
      <c r="C11" s="12"/>
      <c r="D11" s="12"/>
      <c r="E11" s="12"/>
      <c r="F11" s="13"/>
      <c r="G11" s="14"/>
      <c r="H11" s="163" t="s">
        <v>33</v>
      </c>
      <c r="I11" s="146"/>
      <c r="J11" s="146"/>
      <c r="K11" s="146"/>
      <c r="L11" s="146"/>
      <c r="M11" s="146"/>
      <c r="N11" s="146"/>
      <c r="O11" s="146"/>
      <c r="P11" s="146"/>
      <c r="Q11" s="146"/>
      <c r="R11" s="146"/>
      <c r="S11" s="146"/>
      <c r="T11" s="146"/>
      <c r="U11" s="146"/>
      <c r="V11" s="164"/>
      <c r="W11" s="218" t="s">
        <v>32</v>
      </c>
      <c r="X11" s="219"/>
      <c r="Y11" s="154">
        <v>0.15</v>
      </c>
      <c r="Z11" s="155"/>
      <c r="AA11" s="156"/>
      <c r="AB11" s="145" t="s">
        <v>29</v>
      </c>
      <c r="AC11" s="146"/>
      <c r="AD11" s="147"/>
      <c r="AE11" s="14"/>
      <c r="AF11" s="17"/>
      <c r="AG11" s="12"/>
      <c r="AH11" s="12"/>
      <c r="AI11" s="12"/>
      <c r="AJ11" s="18"/>
      <c r="AL11" s="58" t="s">
        <v>53</v>
      </c>
      <c r="AM11" s="58">
        <v>0.5</v>
      </c>
      <c r="BU11" s="58" t="s">
        <v>73</v>
      </c>
      <c r="BV11" s="58" t="s">
        <v>85</v>
      </c>
      <c r="BW11" s="61">
        <f>$O$23</f>
        <v>1</v>
      </c>
      <c r="BX11" s="59" t="s">
        <v>80</v>
      </c>
    </row>
    <row r="12" spans="2:76" ht="16.2" thickBot="1">
      <c r="B12" s="11"/>
      <c r="C12" s="12"/>
      <c r="D12" s="12"/>
      <c r="E12" s="12"/>
      <c r="F12" s="13"/>
      <c r="G12" s="14"/>
      <c r="H12" s="165" t="s">
        <v>34</v>
      </c>
      <c r="I12" s="152"/>
      <c r="J12" s="152"/>
      <c r="K12" s="152"/>
      <c r="L12" s="152"/>
      <c r="M12" s="152"/>
      <c r="N12" s="152"/>
      <c r="O12" s="152"/>
      <c r="P12" s="152"/>
      <c r="Q12" s="152"/>
      <c r="R12" s="152"/>
      <c r="S12" s="152"/>
      <c r="T12" s="152"/>
      <c r="U12" s="152"/>
      <c r="V12" s="166"/>
      <c r="W12" s="249" t="s">
        <v>35</v>
      </c>
      <c r="X12" s="250"/>
      <c r="Y12" s="148">
        <v>0</v>
      </c>
      <c r="Z12" s="149"/>
      <c r="AA12" s="150"/>
      <c r="AB12" s="151" t="s">
        <v>81</v>
      </c>
      <c r="AC12" s="152"/>
      <c r="AD12" s="153"/>
      <c r="AE12" s="14"/>
      <c r="AF12" s="17"/>
      <c r="AG12" s="12"/>
      <c r="AH12" s="12"/>
      <c r="AI12" s="12"/>
      <c r="AJ12" s="18"/>
      <c r="AL12" s="58" t="s">
        <v>54</v>
      </c>
      <c r="AM12" s="58">
        <v>0.15</v>
      </c>
      <c r="BN12" s="58" t="s">
        <v>112</v>
      </c>
      <c r="BU12" s="58" t="s">
        <v>74</v>
      </c>
      <c r="BV12" s="58" t="s">
        <v>86</v>
      </c>
      <c r="BW12" s="60">
        <f>$K$23</f>
        <v>0.75</v>
      </c>
      <c r="BX12" s="59" t="s">
        <v>79</v>
      </c>
    </row>
    <row r="13" spans="2:76">
      <c r="B13" s="11"/>
      <c r="C13" s="12"/>
      <c r="D13" s="12"/>
      <c r="E13" s="12"/>
      <c r="F13" s="13"/>
      <c r="G13" s="14"/>
      <c r="H13" s="4"/>
      <c r="I13" s="6"/>
      <c r="J13" s="6"/>
      <c r="K13" s="6"/>
      <c r="L13" s="6"/>
      <c r="M13" s="6"/>
      <c r="N13" s="6"/>
      <c r="O13" s="6"/>
      <c r="P13" s="6"/>
      <c r="Q13" s="6"/>
      <c r="R13" s="6"/>
      <c r="S13" s="6"/>
      <c r="T13" s="6"/>
      <c r="U13" s="6"/>
      <c r="V13" s="6"/>
      <c r="W13" s="6"/>
      <c r="X13" s="6"/>
      <c r="Y13" s="4"/>
      <c r="Z13" s="4"/>
      <c r="AA13" s="4"/>
      <c r="AB13" s="4"/>
      <c r="AC13" s="4"/>
      <c r="AD13" s="4"/>
      <c r="AE13" s="16"/>
      <c r="AF13" s="17"/>
      <c r="AG13" s="12"/>
      <c r="AH13" s="12"/>
      <c r="AI13" s="12"/>
      <c r="AJ13" s="18"/>
      <c r="AL13" s="58" t="s">
        <v>55</v>
      </c>
      <c r="AM13" s="58">
        <v>0.5</v>
      </c>
      <c r="BN13" s="58" t="s">
        <v>113</v>
      </c>
      <c r="BO13" s="58" t="s">
        <v>115</v>
      </c>
      <c r="BP13" s="58">
        <f>$Y$17</f>
        <v>1</v>
      </c>
      <c r="BU13" s="58" t="s">
        <v>75</v>
      </c>
      <c r="BV13" s="58" t="s">
        <v>87</v>
      </c>
      <c r="BW13" s="58">
        <f>BW12/BW9</f>
        <v>2.6525823848649224</v>
      </c>
      <c r="BX13" s="59" t="s">
        <v>81</v>
      </c>
    </row>
    <row r="14" spans="2:76">
      <c r="B14" s="11"/>
      <c r="C14" s="12"/>
      <c r="D14" s="12"/>
      <c r="E14" s="12"/>
      <c r="F14" s="13"/>
      <c r="G14" s="14"/>
      <c r="H14" s="15" t="s">
        <v>36</v>
      </c>
      <c r="I14" s="20"/>
      <c r="J14" s="20"/>
      <c r="K14" s="20"/>
      <c r="L14" s="20"/>
      <c r="M14" s="20"/>
      <c r="N14" s="20"/>
      <c r="O14" s="20"/>
      <c r="P14" s="20"/>
      <c r="Q14" s="20"/>
      <c r="R14" s="20"/>
      <c r="S14" s="20"/>
      <c r="T14" s="20"/>
      <c r="U14" s="20"/>
      <c r="V14" s="20"/>
      <c r="W14" s="20"/>
      <c r="X14" s="20"/>
      <c r="Y14" s="12"/>
      <c r="Z14" s="12"/>
      <c r="AA14" s="12"/>
      <c r="AB14" s="12"/>
      <c r="AC14" s="12"/>
      <c r="AD14" s="12"/>
      <c r="AE14" s="16"/>
      <c r="AF14" s="17"/>
      <c r="AG14" s="12"/>
      <c r="AH14" s="12"/>
      <c r="AI14" s="12"/>
      <c r="AJ14" s="18"/>
      <c r="AL14" s="58" t="s">
        <v>56</v>
      </c>
      <c r="AM14" s="58">
        <v>1</v>
      </c>
      <c r="BN14" s="58" t="s">
        <v>114</v>
      </c>
      <c r="BO14" s="58" t="s">
        <v>116</v>
      </c>
      <c r="BP14" s="58">
        <f>BP13*($BW$13^2/(2*9.81))</f>
        <v>0.35862351215574306</v>
      </c>
      <c r="BU14" s="58" t="s">
        <v>76</v>
      </c>
      <c r="BV14" s="58" t="s">
        <v>88</v>
      </c>
      <c r="BW14" s="58">
        <f>Y18</f>
        <v>13</v>
      </c>
      <c r="BX14" s="59" t="s">
        <v>29</v>
      </c>
    </row>
    <row r="15" spans="2:76" ht="15" thickBot="1">
      <c r="B15" s="11"/>
      <c r="C15" s="12"/>
      <c r="D15" s="12"/>
      <c r="E15" s="12"/>
      <c r="F15" s="21"/>
      <c r="G15" s="19"/>
      <c r="H15" s="19"/>
      <c r="I15" s="19"/>
      <c r="J15" s="19"/>
      <c r="K15" s="19"/>
      <c r="L15" s="19"/>
      <c r="M15" s="19"/>
      <c r="N15" s="19"/>
      <c r="O15" s="19"/>
      <c r="P15" s="19"/>
      <c r="Q15" s="19"/>
      <c r="R15" s="19"/>
      <c r="S15" s="19"/>
      <c r="T15" s="19"/>
      <c r="U15" s="19"/>
      <c r="V15" s="19"/>
      <c r="W15" s="19"/>
      <c r="X15" s="19"/>
      <c r="Y15" s="19"/>
      <c r="Z15" s="19"/>
      <c r="AA15" s="19"/>
      <c r="AB15" s="19"/>
      <c r="AC15" s="19"/>
      <c r="AD15" s="19"/>
      <c r="AE15" s="22"/>
      <c r="AF15" s="23"/>
      <c r="AG15" s="19"/>
      <c r="AH15" s="19"/>
      <c r="AI15" s="12"/>
      <c r="AJ15" s="18"/>
      <c r="AL15" s="58" t="s">
        <v>57</v>
      </c>
      <c r="AM15" s="58">
        <v>2</v>
      </c>
      <c r="BN15" s="58" t="s">
        <v>117</v>
      </c>
      <c r="BO15" s="58" t="s">
        <v>118</v>
      </c>
      <c r="BP15" s="58">
        <f>BP9</f>
        <v>12.95</v>
      </c>
      <c r="BQ15" s="58" t="s">
        <v>29</v>
      </c>
      <c r="BU15" s="58" t="s">
        <v>77</v>
      </c>
      <c r="BV15" s="58" t="s">
        <v>89</v>
      </c>
      <c r="BW15" s="58">
        <f>BW14+BW10*BW11%</f>
        <v>13.87</v>
      </c>
      <c r="BX15" s="59" t="s">
        <v>29</v>
      </c>
    </row>
    <row r="16" spans="2:76" ht="15" thickBot="1">
      <c r="B16" s="11"/>
      <c r="C16" s="12"/>
      <c r="D16" s="12"/>
      <c r="E16" s="12"/>
      <c r="F16" s="13"/>
      <c r="G16" s="20"/>
      <c r="H16" s="239" t="s">
        <v>65</v>
      </c>
      <c r="I16" s="240"/>
      <c r="J16" s="240"/>
      <c r="K16" s="240"/>
      <c r="L16" s="240"/>
      <c r="M16" s="240"/>
      <c r="N16" s="240"/>
      <c r="O16" s="240"/>
      <c r="P16" s="240"/>
      <c r="Q16" s="240"/>
      <c r="R16" s="240"/>
      <c r="S16" s="240"/>
      <c r="T16" s="240"/>
      <c r="U16" s="240"/>
      <c r="V16" s="241"/>
      <c r="W16" s="231" t="s">
        <v>68</v>
      </c>
      <c r="X16" s="232"/>
      <c r="Y16" s="233"/>
      <c r="Z16" s="233"/>
      <c r="AA16" s="233"/>
      <c r="AB16" s="232"/>
      <c r="AC16" s="232"/>
      <c r="AD16" s="234"/>
      <c r="AE16" s="16"/>
      <c r="AF16" s="17"/>
      <c r="AG16" s="12"/>
      <c r="AH16" s="12"/>
      <c r="AI16" s="20"/>
      <c r="AJ16" s="18"/>
      <c r="AL16" s="58" t="s">
        <v>58</v>
      </c>
      <c r="BN16" s="58" t="s">
        <v>120</v>
      </c>
      <c r="BO16" s="58" t="s">
        <v>121</v>
      </c>
      <c r="BP16" s="58">
        <f>BP15+BP14</f>
        <v>13.308623512155743</v>
      </c>
      <c r="BQ16" s="58" t="s">
        <v>29</v>
      </c>
    </row>
    <row r="17" spans="2:76">
      <c r="B17" s="11"/>
      <c r="C17" s="12"/>
      <c r="D17" s="12"/>
      <c r="E17" s="12"/>
      <c r="F17" s="13"/>
      <c r="G17" s="20"/>
      <c r="H17" s="163" t="s">
        <v>66</v>
      </c>
      <c r="I17" s="146"/>
      <c r="J17" s="146"/>
      <c r="K17" s="146"/>
      <c r="L17" s="146"/>
      <c r="M17" s="146"/>
      <c r="N17" s="146"/>
      <c r="O17" s="146"/>
      <c r="P17" s="146"/>
      <c r="Q17" s="146"/>
      <c r="R17" s="146"/>
      <c r="S17" s="146"/>
      <c r="T17" s="146"/>
      <c r="U17" s="146"/>
      <c r="V17" s="164"/>
      <c r="W17" s="235"/>
      <c r="X17" s="236"/>
      <c r="Y17" s="154">
        <v>1</v>
      </c>
      <c r="Z17" s="155"/>
      <c r="AA17" s="156"/>
      <c r="AB17" s="237"/>
      <c r="AC17" s="238"/>
      <c r="AD17" s="224"/>
      <c r="AE17" s="16"/>
      <c r="AF17" s="17"/>
      <c r="AG17" s="12"/>
      <c r="AH17" s="12"/>
      <c r="AI17" s="20"/>
      <c r="AJ17" s="18"/>
      <c r="BU17" s="58" t="s">
        <v>90</v>
      </c>
    </row>
    <row r="18" spans="2:76">
      <c r="B18" s="11"/>
      <c r="C18" s="12"/>
      <c r="D18" s="12"/>
      <c r="E18" s="12"/>
      <c r="F18" s="13"/>
      <c r="G18" s="20"/>
      <c r="H18" s="163" t="s">
        <v>67</v>
      </c>
      <c r="I18" s="146"/>
      <c r="J18" s="146"/>
      <c r="K18" s="146"/>
      <c r="L18" s="146"/>
      <c r="M18" s="146"/>
      <c r="N18" s="146"/>
      <c r="O18" s="146"/>
      <c r="P18" s="146"/>
      <c r="Q18" s="146"/>
      <c r="R18" s="146"/>
      <c r="S18" s="146"/>
      <c r="T18" s="146"/>
      <c r="U18" s="146"/>
      <c r="V18" s="164"/>
      <c r="W18" s="218"/>
      <c r="X18" s="219"/>
      <c r="Y18" s="154">
        <v>13</v>
      </c>
      <c r="Z18" s="155"/>
      <c r="AA18" s="156"/>
      <c r="AB18" s="145" t="s">
        <v>29</v>
      </c>
      <c r="AC18" s="146"/>
      <c r="AD18" s="147"/>
      <c r="AE18" s="16"/>
      <c r="AF18" s="17"/>
      <c r="AG18" s="12"/>
      <c r="AH18" s="12"/>
      <c r="AI18" s="20"/>
      <c r="AJ18" s="18"/>
      <c r="AL18" s="58" t="s">
        <v>60</v>
      </c>
      <c r="AM18" s="58">
        <v>0.15</v>
      </c>
      <c r="BN18" s="58" t="s">
        <v>140</v>
      </c>
      <c r="BU18" s="58" t="s">
        <v>70</v>
      </c>
      <c r="BV18" s="58" t="s">
        <v>82</v>
      </c>
      <c r="BW18" s="60">
        <f>$G$24</f>
        <v>0.52500000000000002</v>
      </c>
      <c r="BX18" s="59" t="s">
        <v>29</v>
      </c>
    </row>
    <row r="19" spans="2:76" ht="15" thickBot="1">
      <c r="B19" s="11"/>
      <c r="C19" s="12"/>
      <c r="D19" s="12"/>
      <c r="E19" s="12"/>
      <c r="F19" s="13"/>
      <c r="G19" s="20"/>
      <c r="H19" s="165" t="s">
        <v>43</v>
      </c>
      <c r="I19" s="152"/>
      <c r="J19" s="152"/>
      <c r="K19" s="152"/>
      <c r="L19" s="152"/>
      <c r="M19" s="152"/>
      <c r="N19" s="152"/>
      <c r="O19" s="152"/>
      <c r="P19" s="152"/>
      <c r="Q19" s="152"/>
      <c r="R19" s="152"/>
      <c r="S19" s="152"/>
      <c r="T19" s="152"/>
      <c r="U19" s="152"/>
      <c r="V19" s="166"/>
      <c r="W19" s="249"/>
      <c r="X19" s="250"/>
      <c r="Y19" s="148">
        <v>15</v>
      </c>
      <c r="Z19" s="149"/>
      <c r="AA19" s="150"/>
      <c r="AB19" s="151" t="s">
        <v>29</v>
      </c>
      <c r="AC19" s="152"/>
      <c r="AD19" s="153"/>
      <c r="AE19" s="16"/>
      <c r="AF19" s="17"/>
      <c r="AG19" s="12"/>
      <c r="AH19" s="12"/>
      <c r="AI19" s="20"/>
      <c r="AJ19" s="18"/>
      <c r="AL19" s="58" t="s">
        <v>61</v>
      </c>
      <c r="AM19" s="58">
        <v>6</v>
      </c>
      <c r="BN19" s="58" t="s">
        <v>123</v>
      </c>
      <c r="BO19" s="58" t="s">
        <v>124</v>
      </c>
      <c r="BP19" s="60">
        <f>$M$23*10^-3</f>
        <v>5.9999999999999995E-4</v>
      </c>
      <c r="BQ19" s="58" t="s">
        <v>64</v>
      </c>
      <c r="BU19" s="58" t="s">
        <v>71</v>
      </c>
      <c r="BV19" s="58" t="s">
        <v>83</v>
      </c>
      <c r="BW19" s="58">
        <f>PI()*(BW18/2)^2</f>
        <v>0.21647536878642168</v>
      </c>
      <c r="BX19" s="59" t="s">
        <v>78</v>
      </c>
    </row>
    <row r="20" spans="2:76" ht="15" thickBot="1">
      <c r="B20" s="11"/>
      <c r="C20" s="12"/>
      <c r="D20" s="12"/>
      <c r="E20" s="12"/>
      <c r="F20" s="13"/>
      <c r="G20" s="20"/>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20"/>
      <c r="AJ20" s="18"/>
      <c r="AL20" s="58" t="s">
        <v>62</v>
      </c>
      <c r="AM20" s="58">
        <v>1</v>
      </c>
      <c r="BG20" s="58" t="s">
        <v>169</v>
      </c>
      <c r="BH20" s="58" t="s">
        <v>163</v>
      </c>
      <c r="BI20" s="58" t="s">
        <v>119</v>
      </c>
      <c r="BJ20" s="58" t="s">
        <v>170</v>
      </c>
      <c r="BN20" s="58" t="s">
        <v>125</v>
      </c>
      <c r="BO20" s="58" t="s">
        <v>126</v>
      </c>
      <c r="BP20" s="58">
        <f>1.31*10^-6</f>
        <v>1.31E-6</v>
      </c>
      <c r="BQ20" s="58" t="s">
        <v>139</v>
      </c>
      <c r="BU20" s="58" t="s">
        <v>72</v>
      </c>
      <c r="BV20" s="58" t="s">
        <v>84</v>
      </c>
      <c r="BW20" s="61">
        <f>$I$24</f>
        <v>100</v>
      </c>
      <c r="BX20" s="59" t="s">
        <v>29</v>
      </c>
    </row>
    <row r="21" spans="2:76">
      <c r="B21" s="11"/>
      <c r="C21" s="12"/>
      <c r="D21" s="12"/>
      <c r="E21" s="270" t="s">
        <v>37</v>
      </c>
      <c r="F21" s="271"/>
      <c r="G21" s="311" t="s">
        <v>38</v>
      </c>
      <c r="H21" s="304"/>
      <c r="I21" s="167" t="s">
        <v>39</v>
      </c>
      <c r="J21" s="188"/>
      <c r="K21" s="188" t="s">
        <v>40</v>
      </c>
      <c r="L21" s="189"/>
      <c r="M21" s="167" t="s">
        <v>41</v>
      </c>
      <c r="N21" s="168"/>
      <c r="O21" s="306" t="s">
        <v>42</v>
      </c>
      <c r="P21" s="307"/>
      <c r="Q21" s="167" t="s">
        <v>43</v>
      </c>
      <c r="R21" s="188"/>
      <c r="S21" s="304"/>
      <c r="T21" s="266" t="s">
        <v>44</v>
      </c>
      <c r="U21" s="267"/>
      <c r="V21" s="296" t="s">
        <v>63</v>
      </c>
      <c r="W21" s="297"/>
      <c r="X21" s="297"/>
      <c r="Y21" s="298"/>
      <c r="Z21" s="298"/>
      <c r="AA21" s="298"/>
      <c r="AB21" s="298"/>
      <c r="AC21" s="298"/>
      <c r="AD21" s="298"/>
      <c r="AE21" s="299"/>
      <c r="AF21" s="257" t="s">
        <v>59</v>
      </c>
      <c r="AG21" s="258"/>
      <c r="AH21" s="12"/>
      <c r="AI21" s="20"/>
      <c r="AJ21" s="18"/>
      <c r="BF21" s="58">
        <v>1</v>
      </c>
      <c r="BG21" s="58">
        <v>0</v>
      </c>
      <c r="BH21" s="60">
        <f>M38</f>
        <v>12.95</v>
      </c>
      <c r="BI21" s="60">
        <f>P38</f>
        <v>13.308623512155743</v>
      </c>
      <c r="BJ21" s="60">
        <f>S38</f>
        <v>15</v>
      </c>
      <c r="BN21" s="58" t="s">
        <v>127</v>
      </c>
      <c r="BO21" s="58" t="s">
        <v>128</v>
      </c>
      <c r="BP21" s="58">
        <f>($BW$13*$BW$8/BP20)</f>
        <v>1214923.2297091247</v>
      </c>
      <c r="BU21" s="58" t="s">
        <v>73</v>
      </c>
      <c r="BV21" s="58" t="s">
        <v>85</v>
      </c>
      <c r="BW21" s="61">
        <f>$O$24</f>
        <v>0.8</v>
      </c>
      <c r="BX21" s="59" t="s">
        <v>80</v>
      </c>
    </row>
    <row r="22" spans="2:76" ht="15" thickBot="1">
      <c r="B22" s="11"/>
      <c r="C22" s="12"/>
      <c r="D22" s="12"/>
      <c r="E22" s="272"/>
      <c r="F22" s="273"/>
      <c r="G22" s="312"/>
      <c r="H22" s="305"/>
      <c r="I22" s="225"/>
      <c r="J22" s="190"/>
      <c r="K22" s="190"/>
      <c r="L22" s="191"/>
      <c r="M22" s="169"/>
      <c r="N22" s="170"/>
      <c r="O22" s="308"/>
      <c r="P22" s="309"/>
      <c r="Q22" s="225"/>
      <c r="R22" s="190"/>
      <c r="S22" s="305"/>
      <c r="T22" s="268"/>
      <c r="U22" s="269"/>
      <c r="V22" s="300"/>
      <c r="W22" s="301"/>
      <c r="X22" s="301"/>
      <c r="Y22" s="302"/>
      <c r="Z22" s="302"/>
      <c r="AA22" s="302"/>
      <c r="AB22" s="302"/>
      <c r="AC22" s="302"/>
      <c r="AD22" s="302"/>
      <c r="AE22" s="303"/>
      <c r="AF22" s="259"/>
      <c r="AG22" s="260"/>
      <c r="AH22" s="12"/>
      <c r="AI22" s="20"/>
      <c r="AJ22" s="18"/>
      <c r="BF22" s="58">
        <v>2</v>
      </c>
      <c r="BG22" s="61">
        <f>I23</f>
        <v>87</v>
      </c>
      <c r="BH22" s="58">
        <f>IF(G23="",M38,M39)</f>
        <v>14.329670135981026</v>
      </c>
      <c r="BI22" s="58">
        <f>IF(G23="",P38,P39)</f>
        <v>14.601579415594136</v>
      </c>
      <c r="BJ22" s="58">
        <f t="shared" ref="BJ22:BJ31" si="0">IF(G23="",BJ21,S39)</f>
        <v>17</v>
      </c>
      <c r="BN22" s="58" t="s">
        <v>129</v>
      </c>
      <c r="BO22" s="58" t="s">
        <v>130</v>
      </c>
      <c r="BP22" s="58">
        <f>(1/(-2*LOG10((BP19/(3.7*$BW$8)))+(5.1286/BP21^0.89)))^2</f>
        <v>1.9635357457849546E-2</v>
      </c>
      <c r="BQ22" s="62"/>
      <c r="BU22" s="58" t="s">
        <v>74</v>
      </c>
      <c r="BV22" s="58" t="s">
        <v>86</v>
      </c>
      <c r="BW22" s="60">
        <f>$K$24</f>
        <v>0.5</v>
      </c>
      <c r="BX22" s="59" t="s">
        <v>79</v>
      </c>
    </row>
    <row r="23" spans="2:76">
      <c r="B23" s="11"/>
      <c r="C23" s="12"/>
      <c r="D23" s="12"/>
      <c r="E23" s="223">
        <v>1</v>
      </c>
      <c r="F23" s="224"/>
      <c r="G23" s="463">
        <v>0.6</v>
      </c>
      <c r="H23" s="127"/>
      <c r="I23" s="140">
        <v>87</v>
      </c>
      <c r="J23" s="141"/>
      <c r="K23" s="126">
        <v>0.75</v>
      </c>
      <c r="L23" s="127"/>
      <c r="M23" s="126">
        <v>0.6</v>
      </c>
      <c r="N23" s="127"/>
      <c r="O23" s="140">
        <v>1</v>
      </c>
      <c r="P23" s="141"/>
      <c r="Q23" s="120">
        <v>17</v>
      </c>
      <c r="R23" s="124"/>
      <c r="S23" s="121"/>
      <c r="T23" s="120">
        <v>0.1</v>
      </c>
      <c r="U23" s="121"/>
      <c r="V23" s="264" t="s">
        <v>45</v>
      </c>
      <c r="W23" s="265"/>
      <c r="X23" s="265"/>
      <c r="Y23" s="265"/>
      <c r="Z23" s="265"/>
      <c r="AA23" s="265"/>
      <c r="AB23" s="265"/>
      <c r="AC23" s="265"/>
      <c r="AD23" s="265"/>
      <c r="AE23" s="265"/>
      <c r="AF23" s="120">
        <v>1</v>
      </c>
      <c r="AG23" s="261"/>
      <c r="AH23" s="12"/>
      <c r="AI23" s="20"/>
      <c r="AJ23" s="18"/>
      <c r="AL23" s="58" t="s">
        <v>68</v>
      </c>
      <c r="AM23" s="58">
        <v>1</v>
      </c>
      <c r="BF23" s="58">
        <v>3</v>
      </c>
      <c r="BG23" s="61">
        <f t="shared" ref="BG23:BG31" si="1">BG22+I24</f>
        <v>187</v>
      </c>
      <c r="BH23" s="58">
        <f t="shared" ref="BH23:BH31" si="2">IF(BH22=BH21,BH22,IF(G24="",M39,M40))</f>
        <v>15.652416727203887</v>
      </c>
      <c r="BI23" s="58">
        <f t="shared" ref="BI23:BI31" si="3">IF(BI22=BI21,BI22,IF(G24="",P39,P40))</f>
        <v>16.156162236734041</v>
      </c>
      <c r="BJ23" s="58">
        <f t="shared" si="0"/>
        <v>18</v>
      </c>
      <c r="BN23" s="58" t="s">
        <v>131</v>
      </c>
      <c r="BO23" s="58" t="s">
        <v>132</v>
      </c>
      <c r="BP23" s="58">
        <f>BP22*$BW$13^2/(2*9.81*$BW$8)</f>
        <v>1.1736168089945778E-2</v>
      </c>
      <c r="BQ23" s="58" t="s">
        <v>29</v>
      </c>
      <c r="BU23" s="58" t="s">
        <v>75</v>
      </c>
      <c r="BV23" s="58" t="s">
        <v>87</v>
      </c>
      <c r="BW23" s="58">
        <f>BW22/BW19</f>
        <v>2.3097316004265993</v>
      </c>
      <c r="BX23" s="59" t="s">
        <v>81</v>
      </c>
    </row>
    <row r="24" spans="2:76">
      <c r="B24" s="11"/>
      <c r="C24" s="12"/>
      <c r="D24" s="12"/>
      <c r="E24" s="163">
        <v>2</v>
      </c>
      <c r="F24" s="147"/>
      <c r="G24" s="462">
        <v>0.52500000000000002</v>
      </c>
      <c r="H24" s="461"/>
      <c r="I24" s="128">
        <v>100</v>
      </c>
      <c r="J24" s="129"/>
      <c r="K24" s="115">
        <v>0.5</v>
      </c>
      <c r="L24" s="461"/>
      <c r="M24" s="115">
        <v>0.6</v>
      </c>
      <c r="N24" s="461"/>
      <c r="O24" s="128">
        <v>0.8</v>
      </c>
      <c r="P24" s="129"/>
      <c r="Q24" s="122">
        <v>18</v>
      </c>
      <c r="R24" s="125"/>
      <c r="S24" s="123"/>
      <c r="T24" s="122">
        <v>0.2</v>
      </c>
      <c r="U24" s="123"/>
      <c r="V24" s="262" t="s">
        <v>45</v>
      </c>
      <c r="W24" s="263"/>
      <c r="X24" s="263"/>
      <c r="Y24" s="263"/>
      <c r="Z24" s="263"/>
      <c r="AA24" s="263"/>
      <c r="AB24" s="263"/>
      <c r="AC24" s="263"/>
      <c r="AD24" s="263"/>
      <c r="AE24" s="263"/>
      <c r="AF24" s="122">
        <v>1</v>
      </c>
      <c r="AG24" s="276"/>
      <c r="AH24" s="12"/>
      <c r="AI24" s="20"/>
      <c r="AJ24" s="18"/>
      <c r="AL24" s="58" t="s">
        <v>60</v>
      </c>
      <c r="AM24" s="58">
        <v>0.15</v>
      </c>
      <c r="BF24" s="58">
        <v>4</v>
      </c>
      <c r="BG24" s="61">
        <f t="shared" si="1"/>
        <v>262</v>
      </c>
      <c r="BH24" s="58">
        <f t="shared" si="2"/>
        <v>17.926502702584035</v>
      </c>
      <c r="BI24" s="58">
        <f t="shared" si="3"/>
        <v>18.09363337275391</v>
      </c>
      <c r="BJ24" s="58">
        <f t="shared" si="0"/>
        <v>18.5</v>
      </c>
      <c r="BN24" s="58" t="s">
        <v>133</v>
      </c>
      <c r="BO24" s="58" t="s">
        <v>134</v>
      </c>
      <c r="BP24" s="58">
        <f>BP23*$BW$10</f>
        <v>1.0210466238252827</v>
      </c>
      <c r="BQ24" s="58" t="s">
        <v>29</v>
      </c>
      <c r="BU24" s="58" t="s">
        <v>76</v>
      </c>
      <c r="BV24" s="58" t="s">
        <v>88</v>
      </c>
      <c r="BW24" s="63">
        <f>BW15+$T$23</f>
        <v>13.969999999999999</v>
      </c>
      <c r="BX24" s="59" t="s">
        <v>29</v>
      </c>
    </row>
    <row r="25" spans="2:76">
      <c r="B25" s="11"/>
      <c r="C25" s="12"/>
      <c r="D25" s="12"/>
      <c r="E25" s="163">
        <v>3</v>
      </c>
      <c r="F25" s="147"/>
      <c r="G25" s="462">
        <v>0.45</v>
      </c>
      <c r="H25" s="461"/>
      <c r="I25" s="128">
        <v>75</v>
      </c>
      <c r="J25" s="129"/>
      <c r="K25" s="115">
        <v>0.5</v>
      </c>
      <c r="L25" s="461"/>
      <c r="M25" s="115">
        <v>0.6</v>
      </c>
      <c r="N25" s="461"/>
      <c r="O25" s="128">
        <v>1</v>
      </c>
      <c r="P25" s="129"/>
      <c r="Q25" s="122">
        <v>18.5</v>
      </c>
      <c r="R25" s="125"/>
      <c r="S25" s="123"/>
      <c r="T25" s="122">
        <v>0.1</v>
      </c>
      <c r="U25" s="123"/>
      <c r="V25" s="262" t="s">
        <v>45</v>
      </c>
      <c r="W25" s="263"/>
      <c r="X25" s="263"/>
      <c r="Y25" s="263"/>
      <c r="Z25" s="263"/>
      <c r="AA25" s="263"/>
      <c r="AB25" s="263"/>
      <c r="AC25" s="263"/>
      <c r="AD25" s="263"/>
      <c r="AE25" s="263"/>
      <c r="AF25" s="122">
        <v>1</v>
      </c>
      <c r="AG25" s="276"/>
      <c r="AH25" s="12"/>
      <c r="AI25" s="20"/>
      <c r="AJ25" s="18"/>
      <c r="AL25" s="58" t="s">
        <v>61</v>
      </c>
      <c r="AM25" s="58">
        <v>6</v>
      </c>
      <c r="BF25" s="58">
        <v>5</v>
      </c>
      <c r="BG25" s="61">
        <f t="shared" si="1"/>
        <v>312</v>
      </c>
      <c r="BH25" s="58">
        <f t="shared" si="2"/>
        <v>18.753026130475952</v>
      </c>
      <c r="BI25" s="58">
        <f t="shared" si="3"/>
        <v>18.920156800645827</v>
      </c>
      <c r="BJ25" s="58">
        <f t="shared" si="0"/>
        <v>19</v>
      </c>
      <c r="BN25" s="58" t="s">
        <v>135</v>
      </c>
      <c r="BO25" s="58" t="s">
        <v>136</v>
      </c>
      <c r="BP25" s="58">
        <f>BP16+BP24</f>
        <v>14.329670135981026</v>
      </c>
      <c r="BQ25" s="58" t="s">
        <v>29</v>
      </c>
      <c r="BU25" s="58" t="s">
        <v>77</v>
      </c>
      <c r="BV25" s="58" t="s">
        <v>89</v>
      </c>
      <c r="BW25" s="58">
        <f>BW24+BW20*BW21%</f>
        <v>14.77</v>
      </c>
      <c r="BX25" s="59" t="s">
        <v>29</v>
      </c>
    </row>
    <row r="26" spans="2:76">
      <c r="B26" s="11"/>
      <c r="C26" s="12"/>
      <c r="D26" s="12"/>
      <c r="E26" s="163">
        <v>4</v>
      </c>
      <c r="F26" s="147"/>
      <c r="G26" s="499">
        <v>0.375</v>
      </c>
      <c r="H26" s="498"/>
      <c r="I26" s="485">
        <v>50</v>
      </c>
      <c r="J26" s="486"/>
      <c r="K26" s="489">
        <v>0.2</v>
      </c>
      <c r="L26" s="498"/>
      <c r="M26" s="489">
        <v>0.6</v>
      </c>
      <c r="N26" s="498"/>
      <c r="O26" s="485">
        <v>2</v>
      </c>
      <c r="P26" s="486"/>
      <c r="Q26" s="491">
        <v>19</v>
      </c>
      <c r="R26" s="492"/>
      <c r="S26" s="493"/>
      <c r="T26" s="491">
        <v>0.15</v>
      </c>
      <c r="U26" s="493"/>
      <c r="V26" s="494" t="s">
        <v>57</v>
      </c>
      <c r="W26" s="495"/>
      <c r="X26" s="495"/>
      <c r="Y26" s="495"/>
      <c r="Z26" s="495"/>
      <c r="AA26" s="495"/>
      <c r="AB26" s="495"/>
      <c r="AC26" s="495"/>
      <c r="AD26" s="495"/>
      <c r="AE26" s="495"/>
      <c r="AF26" s="491">
        <v>2</v>
      </c>
      <c r="AG26" s="496"/>
      <c r="AH26" s="12"/>
      <c r="AI26" s="20"/>
      <c r="AJ26" s="18"/>
      <c r="AL26" s="58" t="s">
        <v>58</v>
      </c>
      <c r="BF26" s="58">
        <v>6</v>
      </c>
      <c r="BG26" s="61">
        <f t="shared" si="1"/>
        <v>362</v>
      </c>
      <c r="BH26" s="58">
        <f t="shared" si="2"/>
        <v>19.412418888197994</v>
      </c>
      <c r="BI26" s="58">
        <f t="shared" si="3"/>
        <v>19.579549558367869</v>
      </c>
      <c r="BJ26" s="58">
        <f t="shared" si="0"/>
        <v>20</v>
      </c>
      <c r="BN26" s="58" t="s">
        <v>137</v>
      </c>
      <c r="BO26" s="58" t="s">
        <v>138</v>
      </c>
      <c r="BP26" s="58">
        <f>BP25-$BW$13^2/(2*9.81)</f>
        <v>13.971046623825282</v>
      </c>
      <c r="BQ26" s="58" t="s">
        <v>29</v>
      </c>
    </row>
    <row r="27" spans="2:76">
      <c r="B27" s="11"/>
      <c r="C27" s="12"/>
      <c r="D27" s="12"/>
      <c r="E27" s="163">
        <v>5</v>
      </c>
      <c r="F27" s="147"/>
      <c r="G27" s="499">
        <v>0.375</v>
      </c>
      <c r="H27" s="498"/>
      <c r="I27" s="485">
        <v>50</v>
      </c>
      <c r="J27" s="486"/>
      <c r="K27" s="489">
        <v>0.2</v>
      </c>
      <c r="L27" s="498"/>
      <c r="M27" s="489">
        <v>0.6</v>
      </c>
      <c r="N27" s="498"/>
      <c r="O27" s="485">
        <v>3</v>
      </c>
      <c r="P27" s="486"/>
      <c r="Q27" s="491">
        <v>20</v>
      </c>
      <c r="R27" s="492"/>
      <c r="S27" s="493"/>
      <c r="T27" s="491">
        <v>0.1</v>
      </c>
      <c r="U27" s="493"/>
      <c r="V27" s="494" t="s">
        <v>45</v>
      </c>
      <c r="W27" s="495"/>
      <c r="X27" s="495"/>
      <c r="Y27" s="495"/>
      <c r="Z27" s="495"/>
      <c r="AA27" s="495"/>
      <c r="AB27" s="495"/>
      <c r="AC27" s="495"/>
      <c r="AD27" s="495"/>
      <c r="AE27" s="495"/>
      <c r="AF27" s="491">
        <v>1</v>
      </c>
      <c r="AG27" s="496"/>
      <c r="AH27" s="12"/>
      <c r="AI27" s="20"/>
      <c r="AJ27" s="18"/>
      <c r="BF27" s="58">
        <v>7</v>
      </c>
      <c r="BG27" s="61">
        <f t="shared" si="1"/>
        <v>412</v>
      </c>
      <c r="BH27" s="58">
        <f t="shared" si="2"/>
        <v>20.071811645920036</v>
      </c>
      <c r="BI27" s="58">
        <f t="shared" si="3"/>
        <v>20.238942316089911</v>
      </c>
      <c r="BJ27" s="58">
        <f t="shared" si="0"/>
        <v>21</v>
      </c>
      <c r="BU27" s="58" t="s">
        <v>91</v>
      </c>
    </row>
    <row r="28" spans="2:76">
      <c r="B28" s="11"/>
      <c r="C28" s="12"/>
      <c r="D28" s="12"/>
      <c r="E28" s="163">
        <v>6</v>
      </c>
      <c r="F28" s="147"/>
      <c r="G28" s="499">
        <v>0.375</v>
      </c>
      <c r="H28" s="498"/>
      <c r="I28" s="485">
        <v>50</v>
      </c>
      <c r="J28" s="486"/>
      <c r="K28" s="489">
        <v>0.2</v>
      </c>
      <c r="L28" s="498"/>
      <c r="M28" s="489">
        <v>0.6</v>
      </c>
      <c r="N28" s="498"/>
      <c r="O28" s="485">
        <v>1</v>
      </c>
      <c r="P28" s="486"/>
      <c r="Q28" s="491">
        <v>21</v>
      </c>
      <c r="R28" s="492"/>
      <c r="S28" s="493"/>
      <c r="T28" s="491">
        <v>0.1</v>
      </c>
      <c r="U28" s="493"/>
      <c r="V28" s="494" t="s">
        <v>45</v>
      </c>
      <c r="W28" s="495"/>
      <c r="X28" s="495"/>
      <c r="Y28" s="495"/>
      <c r="Z28" s="495"/>
      <c r="AA28" s="495"/>
      <c r="AB28" s="495"/>
      <c r="AC28" s="495"/>
      <c r="AD28" s="495"/>
      <c r="AE28" s="495"/>
      <c r="AF28" s="491">
        <v>1</v>
      </c>
      <c r="AG28" s="496"/>
      <c r="AH28" s="12"/>
      <c r="AI28" s="12"/>
      <c r="AJ28" s="18"/>
      <c r="BF28" s="58">
        <v>8</v>
      </c>
      <c r="BG28" s="61">
        <f t="shared" si="1"/>
        <v>462</v>
      </c>
      <c r="BH28" s="58">
        <f t="shared" si="2"/>
        <v>20.731204403642078</v>
      </c>
      <c r="BI28" s="58">
        <f t="shared" si="3"/>
        <v>20.898335073811953</v>
      </c>
      <c r="BJ28" s="58">
        <f t="shared" si="0"/>
        <v>22</v>
      </c>
      <c r="BN28" s="58" t="s">
        <v>141</v>
      </c>
      <c r="BU28" s="58" t="s">
        <v>70</v>
      </c>
      <c r="BV28" s="58" t="s">
        <v>82</v>
      </c>
      <c r="BW28" s="60">
        <f>$G$25</f>
        <v>0.45</v>
      </c>
      <c r="BX28" s="59" t="s">
        <v>29</v>
      </c>
    </row>
    <row r="29" spans="2:76">
      <c r="B29" s="11"/>
      <c r="C29" s="12"/>
      <c r="D29" s="12"/>
      <c r="E29" s="163">
        <v>7</v>
      </c>
      <c r="F29" s="147"/>
      <c r="G29" s="499">
        <v>0.375</v>
      </c>
      <c r="H29" s="498"/>
      <c r="I29" s="485">
        <v>50</v>
      </c>
      <c r="J29" s="486"/>
      <c r="K29" s="489">
        <v>0.2</v>
      </c>
      <c r="L29" s="498"/>
      <c r="M29" s="489">
        <v>0.6</v>
      </c>
      <c r="N29" s="498"/>
      <c r="O29" s="485">
        <v>1</v>
      </c>
      <c r="P29" s="486"/>
      <c r="Q29" s="491">
        <v>22</v>
      </c>
      <c r="R29" s="492"/>
      <c r="S29" s="493"/>
      <c r="T29" s="491">
        <v>0.2</v>
      </c>
      <c r="U29" s="493"/>
      <c r="V29" s="494" t="s">
        <v>45</v>
      </c>
      <c r="W29" s="495"/>
      <c r="X29" s="495"/>
      <c r="Y29" s="495"/>
      <c r="Z29" s="495"/>
      <c r="AA29" s="495"/>
      <c r="AB29" s="495"/>
      <c r="AC29" s="495"/>
      <c r="AD29" s="495"/>
      <c r="AE29" s="495"/>
      <c r="AF29" s="491">
        <v>1</v>
      </c>
      <c r="AG29" s="496"/>
      <c r="AH29" s="12"/>
      <c r="AI29" s="12"/>
      <c r="AJ29" s="18"/>
      <c r="BF29" s="58">
        <v>9</v>
      </c>
      <c r="BG29" s="61">
        <f t="shared" si="1"/>
        <v>512</v>
      </c>
      <c r="BH29" s="58">
        <f t="shared" si="2"/>
        <v>21.39059716136412</v>
      </c>
      <c r="BI29" s="58">
        <f t="shared" si="3"/>
        <v>21.557727831533995</v>
      </c>
      <c r="BJ29" s="58">
        <f t="shared" si="0"/>
        <v>23</v>
      </c>
      <c r="BN29" s="58" t="s">
        <v>113</v>
      </c>
      <c r="BO29" s="58" t="s">
        <v>115</v>
      </c>
      <c r="BP29" s="63">
        <f>$AF$23</f>
        <v>1</v>
      </c>
      <c r="BU29" s="58" t="s">
        <v>71</v>
      </c>
      <c r="BV29" s="58" t="s">
        <v>83</v>
      </c>
      <c r="BW29" s="58">
        <f>PI()*(BW28/2)^2</f>
        <v>0.15904312808798329</v>
      </c>
      <c r="BX29" s="59" t="s">
        <v>78</v>
      </c>
    </row>
    <row r="30" spans="2:76">
      <c r="B30" s="11"/>
      <c r="C30" s="12"/>
      <c r="D30" s="12"/>
      <c r="E30" s="163">
        <v>8</v>
      </c>
      <c r="F30" s="147"/>
      <c r="G30" s="499">
        <v>0.375</v>
      </c>
      <c r="H30" s="498"/>
      <c r="I30" s="485">
        <v>50</v>
      </c>
      <c r="J30" s="486"/>
      <c r="K30" s="489">
        <v>0.2</v>
      </c>
      <c r="L30" s="498"/>
      <c r="M30" s="489">
        <v>0.6</v>
      </c>
      <c r="N30" s="498"/>
      <c r="O30" s="485">
        <v>1</v>
      </c>
      <c r="P30" s="486"/>
      <c r="Q30" s="491">
        <v>23</v>
      </c>
      <c r="R30" s="492"/>
      <c r="S30" s="493"/>
      <c r="T30" s="491">
        <v>0.3</v>
      </c>
      <c r="U30" s="493"/>
      <c r="V30" s="494" t="s">
        <v>45</v>
      </c>
      <c r="W30" s="495"/>
      <c r="X30" s="495"/>
      <c r="Y30" s="495"/>
      <c r="Z30" s="495"/>
      <c r="AA30" s="495"/>
      <c r="AB30" s="495"/>
      <c r="AC30" s="495"/>
      <c r="AD30" s="495"/>
      <c r="AE30" s="495"/>
      <c r="AF30" s="491">
        <v>1</v>
      </c>
      <c r="AG30" s="496"/>
      <c r="AH30" s="12"/>
      <c r="AI30" s="12"/>
      <c r="AJ30" s="18"/>
      <c r="BF30" s="58">
        <v>10</v>
      </c>
      <c r="BG30" s="61">
        <f t="shared" si="1"/>
        <v>562</v>
      </c>
      <c r="BH30" s="58">
        <f t="shared" si="2"/>
        <v>22.049989919086162</v>
      </c>
      <c r="BI30" s="58">
        <f t="shared" si="3"/>
        <v>22.217120589256037</v>
      </c>
      <c r="BJ30" s="58">
        <f t="shared" si="0"/>
        <v>24</v>
      </c>
      <c r="BN30" s="58" t="s">
        <v>114</v>
      </c>
      <c r="BO30" s="58" t="s">
        <v>116</v>
      </c>
      <c r="BP30" s="58">
        <f>BP29*($BW$13^2/(2*9.81))</f>
        <v>0.35862351215574306</v>
      </c>
      <c r="BU30" s="58" t="s">
        <v>72</v>
      </c>
      <c r="BV30" s="58" t="s">
        <v>84</v>
      </c>
      <c r="BW30" s="61">
        <f>$I$25</f>
        <v>75</v>
      </c>
      <c r="BX30" s="59" t="s">
        <v>29</v>
      </c>
    </row>
    <row r="31" spans="2:76">
      <c r="B31" s="11"/>
      <c r="C31" s="12"/>
      <c r="D31" s="12"/>
      <c r="E31" s="163">
        <v>9</v>
      </c>
      <c r="F31" s="147"/>
      <c r="G31" s="462">
        <v>0.375</v>
      </c>
      <c r="H31" s="461"/>
      <c r="I31" s="128">
        <v>50</v>
      </c>
      <c r="J31" s="129"/>
      <c r="K31" s="115">
        <v>0.2</v>
      </c>
      <c r="L31" s="461"/>
      <c r="M31" s="115">
        <v>0.6</v>
      </c>
      <c r="N31" s="461"/>
      <c r="O31" s="128">
        <v>1</v>
      </c>
      <c r="P31" s="129"/>
      <c r="Q31" s="122">
        <v>24</v>
      </c>
      <c r="R31" s="125"/>
      <c r="S31" s="123"/>
      <c r="T31" s="122">
        <v>0.4</v>
      </c>
      <c r="U31" s="123"/>
      <c r="V31" s="262" t="s">
        <v>45</v>
      </c>
      <c r="W31" s="263"/>
      <c r="X31" s="263"/>
      <c r="Y31" s="263"/>
      <c r="Z31" s="263"/>
      <c r="AA31" s="263"/>
      <c r="AB31" s="263"/>
      <c r="AC31" s="263"/>
      <c r="AD31" s="263"/>
      <c r="AE31" s="263"/>
      <c r="AF31" s="122">
        <v>1</v>
      </c>
      <c r="AG31" s="276"/>
      <c r="AH31" s="12"/>
      <c r="AI31" s="12"/>
      <c r="AJ31" s="18"/>
      <c r="BF31" s="58">
        <v>11</v>
      </c>
      <c r="BG31" s="61">
        <f t="shared" si="1"/>
        <v>612</v>
      </c>
      <c r="BH31" s="58">
        <f t="shared" si="2"/>
        <v>22.709382676808204</v>
      </c>
      <c r="BI31" s="58">
        <f t="shared" si="3"/>
        <v>22.876513346978079</v>
      </c>
      <c r="BJ31" s="58">
        <f t="shared" si="0"/>
        <v>25</v>
      </c>
      <c r="BN31" s="58" t="s">
        <v>117</v>
      </c>
      <c r="BO31" s="58" t="s">
        <v>118</v>
      </c>
      <c r="BP31" s="58">
        <f>BP26+BP30</f>
        <v>14.329670135981026</v>
      </c>
      <c r="BQ31" s="58" t="s">
        <v>29</v>
      </c>
      <c r="BU31" s="58" t="s">
        <v>73</v>
      </c>
      <c r="BV31" s="58" t="s">
        <v>85</v>
      </c>
      <c r="BW31" s="61">
        <f>$O$25</f>
        <v>1</v>
      </c>
      <c r="BX31" s="59" t="s">
        <v>80</v>
      </c>
    </row>
    <row r="32" spans="2:76" ht="15" thickBot="1">
      <c r="B32" s="11"/>
      <c r="C32" s="12"/>
      <c r="D32" s="12"/>
      <c r="E32" s="165">
        <v>10</v>
      </c>
      <c r="F32" s="153"/>
      <c r="G32" s="460">
        <v>0.375</v>
      </c>
      <c r="H32" s="118"/>
      <c r="I32" s="107">
        <v>50</v>
      </c>
      <c r="J32" s="108"/>
      <c r="K32" s="117">
        <v>0.2</v>
      </c>
      <c r="L32" s="118"/>
      <c r="M32" s="117">
        <v>0.6</v>
      </c>
      <c r="N32" s="118"/>
      <c r="O32" s="107">
        <v>1</v>
      </c>
      <c r="P32" s="108"/>
      <c r="Q32" s="97">
        <v>25</v>
      </c>
      <c r="R32" s="119"/>
      <c r="S32" s="98"/>
      <c r="T32" s="97">
        <v>0.1</v>
      </c>
      <c r="U32" s="98"/>
      <c r="V32" s="293" t="s">
        <v>45</v>
      </c>
      <c r="W32" s="294"/>
      <c r="X32" s="294"/>
      <c r="Y32" s="294"/>
      <c r="Z32" s="294"/>
      <c r="AA32" s="294"/>
      <c r="AB32" s="294"/>
      <c r="AC32" s="294"/>
      <c r="AD32" s="294"/>
      <c r="AE32" s="295"/>
      <c r="AF32" s="97">
        <v>1</v>
      </c>
      <c r="AG32" s="310"/>
      <c r="AH32" s="12"/>
      <c r="AI32" s="12"/>
      <c r="AJ32" s="18"/>
      <c r="BH32" s="58" t="s">
        <v>171</v>
      </c>
      <c r="BI32" s="58" t="s">
        <v>172</v>
      </c>
      <c r="BJ32" s="58" t="s">
        <v>163</v>
      </c>
      <c r="BK32" s="58" t="s">
        <v>119</v>
      </c>
      <c r="BN32" s="58" t="s">
        <v>120</v>
      </c>
      <c r="BO32" s="58" t="s">
        <v>121</v>
      </c>
      <c r="BP32" s="58">
        <f>BP31+(IF($G$24="",$BW$13,$BW$23)^2/(2*9.81))</f>
        <v>14.601579415594136</v>
      </c>
      <c r="BQ32" s="58" t="s">
        <v>29</v>
      </c>
      <c r="BU32" s="58" t="s">
        <v>74</v>
      </c>
      <c r="BV32" s="58" t="s">
        <v>86</v>
      </c>
      <c r="BW32" s="60">
        <f>$K$25</f>
        <v>0.5</v>
      </c>
      <c r="BX32" s="59" t="s">
        <v>79</v>
      </c>
    </row>
    <row r="33" spans="2:76">
      <c r="B33" s="11"/>
      <c r="C33" s="12"/>
      <c r="D33" s="12"/>
      <c r="E33" s="12"/>
      <c r="F33" s="13"/>
      <c r="G33" s="6"/>
      <c r="H33" s="4"/>
      <c r="I33" s="4"/>
      <c r="J33" s="4"/>
      <c r="K33" s="4"/>
      <c r="L33" s="4"/>
      <c r="M33" s="4"/>
      <c r="N33" s="4"/>
      <c r="O33" s="4"/>
      <c r="P33" s="4"/>
      <c r="Q33" s="4"/>
      <c r="R33" s="4"/>
      <c r="S33" s="4"/>
      <c r="T33" s="4"/>
      <c r="U33" s="4"/>
      <c r="V33" s="4"/>
      <c r="W33" s="4"/>
      <c r="X33" s="4"/>
      <c r="Y33" s="4"/>
      <c r="Z33" s="4"/>
      <c r="AA33" s="4"/>
      <c r="AB33" s="4"/>
      <c r="AC33" s="4"/>
      <c r="AD33" s="4"/>
      <c r="AE33" s="8"/>
      <c r="AF33" s="9"/>
      <c r="AG33" s="4"/>
      <c r="AH33" s="12"/>
      <c r="AI33" s="12"/>
      <c r="AJ33" s="18"/>
      <c r="BF33" s="58">
        <v>1</v>
      </c>
      <c r="BG33" s="58">
        <f>BG21</f>
        <v>0</v>
      </c>
      <c r="BH33" s="58">
        <f>Y18</f>
        <v>13</v>
      </c>
      <c r="BI33" s="60">
        <f>BH33+G23</f>
        <v>13.6</v>
      </c>
      <c r="BJ33" s="60">
        <f>BH21</f>
        <v>12.95</v>
      </c>
      <c r="BK33" s="60">
        <f>BI21</f>
        <v>13.308623512155743</v>
      </c>
      <c r="BU33" s="58" t="s">
        <v>75</v>
      </c>
      <c r="BV33" s="58" t="s">
        <v>87</v>
      </c>
      <c r="BW33" s="58">
        <f>BW32/BW29</f>
        <v>3.1438013450250928</v>
      </c>
      <c r="BX33" s="59" t="s">
        <v>81</v>
      </c>
    </row>
    <row r="34" spans="2:76">
      <c r="B34" s="11"/>
      <c r="C34" s="12"/>
      <c r="D34" s="12"/>
      <c r="E34" s="12"/>
      <c r="F34" s="13"/>
      <c r="G34" s="20"/>
      <c r="H34" s="24" t="s">
        <v>161</v>
      </c>
      <c r="I34" s="19"/>
      <c r="J34" s="19"/>
      <c r="K34" s="19"/>
      <c r="L34" s="19"/>
      <c r="M34" s="19"/>
      <c r="N34" s="19"/>
      <c r="O34" s="19"/>
      <c r="P34" s="19"/>
      <c r="Q34" s="19"/>
      <c r="R34" s="19"/>
      <c r="S34" s="19"/>
      <c r="T34" s="19"/>
      <c r="U34" s="19"/>
      <c r="V34" s="12"/>
      <c r="W34" s="12"/>
      <c r="X34" s="12"/>
      <c r="Y34" s="12"/>
      <c r="Z34" s="12"/>
      <c r="AA34" s="12"/>
      <c r="AB34" s="12"/>
      <c r="AC34" s="12"/>
      <c r="AD34" s="12"/>
      <c r="AE34" s="16"/>
      <c r="AF34" s="17"/>
      <c r="AG34" s="12"/>
      <c r="AH34" s="12"/>
      <c r="AI34" s="12"/>
      <c r="AJ34" s="18"/>
      <c r="BG34" s="58">
        <f>BG33</f>
        <v>0</v>
      </c>
      <c r="BH34" s="58">
        <f>BH33</f>
        <v>13</v>
      </c>
      <c r="BI34" s="60">
        <f>BI33</f>
        <v>13.6</v>
      </c>
      <c r="BJ34" s="60">
        <f>BJ33</f>
        <v>12.95</v>
      </c>
      <c r="BK34" s="60">
        <f>BK33</f>
        <v>13.308623512155743</v>
      </c>
      <c r="BN34" s="58" t="s">
        <v>142</v>
      </c>
      <c r="BU34" s="58" t="s">
        <v>76</v>
      </c>
      <c r="BV34" s="58" t="s">
        <v>88</v>
      </c>
      <c r="BW34" s="63">
        <f>BW25+$T$24</f>
        <v>14.969999999999999</v>
      </c>
      <c r="BX34" s="59" t="s">
        <v>29</v>
      </c>
    </row>
    <row r="35" spans="2:76" ht="15" thickBot="1">
      <c r="B35" s="11"/>
      <c r="C35" s="12"/>
      <c r="D35" s="12"/>
      <c r="E35" s="12"/>
      <c r="F35" s="13"/>
      <c r="G35" s="20"/>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c r="BF35" s="58">
        <v>2</v>
      </c>
      <c r="BG35" s="58">
        <f t="shared" ref="BG35" si="4">BG22</f>
        <v>87</v>
      </c>
      <c r="BH35" s="58">
        <f>BH34+I23*O23%</f>
        <v>13.87</v>
      </c>
      <c r="BI35" s="60">
        <f>BH35+G24</f>
        <v>14.395</v>
      </c>
      <c r="BJ35" s="58">
        <f>IF(G23="",BJ34,M39-K39)</f>
        <v>13.971046623825282</v>
      </c>
      <c r="BK35" s="58">
        <f>IF(G23="",BK34,P39-K39)</f>
        <v>14.242955903438393</v>
      </c>
      <c r="BN35" s="58" t="s">
        <v>123</v>
      </c>
      <c r="BO35" s="58" t="s">
        <v>124</v>
      </c>
      <c r="BP35" s="60">
        <f>$M$24*10^-3</f>
        <v>5.9999999999999995E-4</v>
      </c>
      <c r="BQ35" s="58" t="s">
        <v>64</v>
      </c>
      <c r="BU35" s="58" t="s">
        <v>77</v>
      </c>
      <c r="BV35" s="58" t="s">
        <v>89</v>
      </c>
      <c r="BW35" s="58">
        <f>BW34+BW30*BW31%</f>
        <v>15.719999999999999</v>
      </c>
      <c r="BX35" s="59" t="s">
        <v>29</v>
      </c>
    </row>
    <row r="36" spans="2:76">
      <c r="B36" s="11"/>
      <c r="C36" s="12"/>
      <c r="D36" s="12"/>
      <c r="E36" s="12"/>
      <c r="F36" s="13"/>
      <c r="G36" s="20"/>
      <c r="H36" s="270" t="s">
        <v>160</v>
      </c>
      <c r="I36" s="341"/>
      <c r="J36" s="271"/>
      <c r="K36" s="317" t="s">
        <v>162</v>
      </c>
      <c r="L36" s="304"/>
      <c r="M36" s="109" t="s">
        <v>163</v>
      </c>
      <c r="N36" s="110"/>
      <c r="O36" s="111"/>
      <c r="P36" s="109" t="s">
        <v>119</v>
      </c>
      <c r="Q36" s="110"/>
      <c r="R36" s="111"/>
      <c r="S36" s="257" t="s">
        <v>43</v>
      </c>
      <c r="T36" s="313"/>
      <c r="U36" s="258"/>
      <c r="V36" s="20"/>
      <c r="W36" s="12"/>
      <c r="X36" s="12"/>
      <c r="Y36" s="12"/>
      <c r="Z36" s="12"/>
      <c r="AA36" s="12"/>
      <c r="AB36" s="12"/>
      <c r="AC36" s="12"/>
      <c r="AD36" s="12"/>
      <c r="AE36" s="16"/>
      <c r="AF36" s="17"/>
      <c r="AG36" s="12"/>
      <c r="AH36" s="12"/>
      <c r="AI36" s="12"/>
      <c r="AJ36" s="18"/>
      <c r="BG36" s="58">
        <f>BG35</f>
        <v>87</v>
      </c>
      <c r="BH36" s="63">
        <f>BH35+T23</f>
        <v>13.969999999999999</v>
      </c>
      <c r="BI36" s="60">
        <f>BI35+T23</f>
        <v>14.494999999999999</v>
      </c>
      <c r="BJ36" s="58">
        <f>IF(G23="",BJ35,M39)</f>
        <v>14.329670135981026</v>
      </c>
      <c r="BK36" s="58">
        <f>IF(G23="",BK35,P39)</f>
        <v>14.601579415594136</v>
      </c>
      <c r="BN36" s="58" t="s">
        <v>125</v>
      </c>
      <c r="BO36" s="58" t="s">
        <v>126</v>
      </c>
      <c r="BP36" s="58">
        <f>1.31*10^-6</f>
        <v>1.31E-6</v>
      </c>
      <c r="BQ36" s="58" t="s">
        <v>139</v>
      </c>
    </row>
    <row r="37" spans="2:76" ht="15" thickBot="1">
      <c r="B37" s="11"/>
      <c r="C37" s="12"/>
      <c r="D37" s="12"/>
      <c r="E37" s="12"/>
      <c r="F37" s="13"/>
      <c r="G37" s="20"/>
      <c r="H37" s="272"/>
      <c r="I37" s="342"/>
      <c r="J37" s="273"/>
      <c r="K37" s="312"/>
      <c r="L37" s="305"/>
      <c r="M37" s="112"/>
      <c r="N37" s="113"/>
      <c r="O37" s="114"/>
      <c r="P37" s="112"/>
      <c r="Q37" s="113"/>
      <c r="R37" s="114"/>
      <c r="S37" s="259"/>
      <c r="T37" s="312"/>
      <c r="U37" s="260"/>
      <c r="V37" s="20"/>
      <c r="W37" s="12"/>
      <c r="X37" s="12"/>
      <c r="Y37" s="12"/>
      <c r="Z37" s="12"/>
      <c r="AA37" s="12"/>
      <c r="AB37" s="12"/>
      <c r="AC37" s="12"/>
      <c r="AD37" s="12"/>
      <c r="AE37" s="16"/>
      <c r="AF37" s="17"/>
      <c r="AG37" s="12"/>
      <c r="AH37" s="12"/>
      <c r="AI37" s="12"/>
      <c r="AJ37" s="18"/>
      <c r="BF37" s="58">
        <v>3</v>
      </c>
      <c r="BG37" s="58">
        <f>BG23</f>
        <v>187</v>
      </c>
      <c r="BH37" s="58">
        <f>BH36+I24*O24%</f>
        <v>14.77</v>
      </c>
      <c r="BI37" s="60">
        <f>BH37+G25</f>
        <v>15.219999999999999</v>
      </c>
      <c r="BJ37" s="58">
        <f>IF(G24="",BJ36,M40-K40)</f>
        <v>15.380507447590777</v>
      </c>
      <c r="BK37" s="58">
        <f>IF(G24="",BK36,P40-K40)</f>
        <v>15.88425295712093</v>
      </c>
      <c r="BN37" s="58" t="s">
        <v>127</v>
      </c>
      <c r="BO37" s="58" t="s">
        <v>128</v>
      </c>
      <c r="BP37" s="58">
        <f>($BW$23*$BW$18/BP36)</f>
        <v>925655.79406409524</v>
      </c>
      <c r="BU37" s="58" t="s">
        <v>92</v>
      </c>
    </row>
    <row r="38" spans="2:76">
      <c r="B38" s="11"/>
      <c r="C38" s="12"/>
      <c r="D38" s="12"/>
      <c r="E38" s="12"/>
      <c r="F38" s="13"/>
      <c r="G38" s="20"/>
      <c r="H38" s="223">
        <v>1</v>
      </c>
      <c r="I38" s="238"/>
      <c r="J38" s="224"/>
      <c r="K38" s="99">
        <f>IF(Y19="","",BP14)</f>
        <v>0.35862351215574306</v>
      </c>
      <c r="L38" s="100"/>
      <c r="M38" s="325">
        <f>IF(Y19="","",BP15)</f>
        <v>12.95</v>
      </c>
      <c r="N38" s="326"/>
      <c r="O38" s="327"/>
      <c r="P38" s="325">
        <f>IF(Y19="","",BP16)</f>
        <v>13.308623512155743</v>
      </c>
      <c r="Q38" s="326"/>
      <c r="R38" s="327"/>
      <c r="S38" s="325">
        <f>IF(Y19="","",Y19)</f>
        <v>15</v>
      </c>
      <c r="T38" s="326"/>
      <c r="U38" s="328"/>
      <c r="V38" s="20"/>
      <c r="W38" s="12"/>
      <c r="X38" s="12"/>
      <c r="Y38" s="12"/>
      <c r="Z38" s="12"/>
      <c r="AA38" s="12"/>
      <c r="AB38" s="12"/>
      <c r="AC38" s="12"/>
      <c r="AD38" s="12"/>
      <c r="AE38" s="16"/>
      <c r="AF38" s="314" t="str">
        <f>IF(K38="","",IF(M38&lt;S38-Y11,"Acceptable","HGL Too High"))</f>
        <v>Acceptable</v>
      </c>
      <c r="AG38" s="332"/>
      <c r="AH38" s="332"/>
      <c r="AI38" s="332"/>
      <c r="AJ38" s="333"/>
      <c r="BG38" s="58">
        <f>BG37</f>
        <v>187</v>
      </c>
      <c r="BH38" s="63">
        <f>BH37+T24</f>
        <v>14.969999999999999</v>
      </c>
      <c r="BI38" s="60">
        <f>BI37+T24</f>
        <v>15.419999999999998</v>
      </c>
      <c r="BJ38" s="58">
        <f>IF(G24="",BJ37,M40)</f>
        <v>15.652416727203887</v>
      </c>
      <c r="BK38" s="58">
        <f>IF(G24="",BK37,P40)</f>
        <v>16.156162236734041</v>
      </c>
      <c r="BN38" s="58" t="s">
        <v>129</v>
      </c>
      <c r="BO38" s="58" t="s">
        <v>130</v>
      </c>
      <c r="BP38" s="58">
        <f>(1/(-2*LOG10((BP35/(3.7*$BW$18)))+(5.1286/BP37^0.89)))^2</f>
        <v>2.0289472627785937E-2</v>
      </c>
      <c r="BQ38" s="62"/>
      <c r="BU38" s="58" t="s">
        <v>70</v>
      </c>
      <c r="BV38" s="58" t="s">
        <v>82</v>
      </c>
      <c r="BW38" s="60">
        <f>$G$26</f>
        <v>0.375</v>
      </c>
      <c r="BX38" s="59" t="s">
        <v>29</v>
      </c>
    </row>
    <row r="39" spans="2:76">
      <c r="B39" s="11"/>
      <c r="C39" s="12"/>
      <c r="D39" s="12"/>
      <c r="E39" s="12"/>
      <c r="F39" s="13"/>
      <c r="G39" s="20"/>
      <c r="H39" s="163">
        <v>2</v>
      </c>
      <c r="I39" s="146"/>
      <c r="J39" s="147"/>
      <c r="K39" s="101">
        <f>IF(G23="","",BP30)</f>
        <v>0.35862351215574306</v>
      </c>
      <c r="L39" s="102"/>
      <c r="M39" s="103">
        <f>IF(G23="","",BP31)</f>
        <v>14.329670135981026</v>
      </c>
      <c r="N39" s="104"/>
      <c r="O39" s="105"/>
      <c r="P39" s="103">
        <f>IF(G23="","",BP32)</f>
        <v>14.601579415594136</v>
      </c>
      <c r="Q39" s="104"/>
      <c r="R39" s="105"/>
      <c r="S39" s="103">
        <f t="shared" ref="S39:S48" si="5">IF(G23="","",Q23)</f>
        <v>17</v>
      </c>
      <c r="T39" s="104"/>
      <c r="U39" s="106"/>
      <c r="V39" s="20"/>
      <c r="W39" s="12"/>
      <c r="X39" s="12"/>
      <c r="Y39" s="12"/>
      <c r="Z39" s="12"/>
      <c r="AA39" s="12"/>
      <c r="AB39" s="12"/>
      <c r="AC39" s="12"/>
      <c r="AD39" s="12"/>
      <c r="AE39" s="16"/>
      <c r="AF39" s="314" t="str">
        <f>IF(K39="","",IF(M39&lt;S39-$Y$11,"Acceptable","HGL Too High"))</f>
        <v>Acceptable</v>
      </c>
      <c r="AG39" s="315"/>
      <c r="AH39" s="315"/>
      <c r="AI39" s="315"/>
      <c r="AJ39" s="316"/>
      <c r="BF39" s="58">
        <v>4</v>
      </c>
      <c r="BG39" s="58">
        <f>BG24</f>
        <v>262</v>
      </c>
      <c r="BH39" s="58">
        <f>BH38+I25*O25%</f>
        <v>15.719999999999999</v>
      </c>
      <c r="BI39" s="60">
        <f>BH39+G26</f>
        <v>16.094999999999999</v>
      </c>
      <c r="BJ39" s="58">
        <f>IF(G25="",BJ38,M41-K41)</f>
        <v>17.422757193053883</v>
      </c>
      <c r="BK39" s="58">
        <f>IF(G25="",BK38,P41-K41)</f>
        <v>17.589887863223758</v>
      </c>
      <c r="BN39" s="58" t="s">
        <v>131</v>
      </c>
      <c r="BO39" s="58" t="s">
        <v>132</v>
      </c>
      <c r="BP39" s="58">
        <f>BP38*$BW$23^2/(2*9.81*$BW$18)</f>
        <v>1.0508373116097503E-2</v>
      </c>
      <c r="BQ39" s="58" t="s">
        <v>29</v>
      </c>
      <c r="BU39" s="58" t="s">
        <v>71</v>
      </c>
      <c r="BV39" s="58" t="s">
        <v>83</v>
      </c>
      <c r="BW39" s="58">
        <f>PI()*(BW38/2)^2</f>
        <v>0.11044661672776616</v>
      </c>
      <c r="BX39" s="59" t="s">
        <v>78</v>
      </c>
    </row>
    <row r="40" spans="2:76">
      <c r="B40" s="11"/>
      <c r="C40" s="12"/>
      <c r="D40" s="12"/>
      <c r="E40" s="12"/>
      <c r="F40" s="13"/>
      <c r="G40" s="20"/>
      <c r="H40" s="163">
        <v>3</v>
      </c>
      <c r="I40" s="146"/>
      <c r="J40" s="147"/>
      <c r="K40" s="101">
        <f>IF(G24="","",BP46)</f>
        <v>0.27190927961311007</v>
      </c>
      <c r="L40" s="102"/>
      <c r="M40" s="103">
        <f>IF(G24="","",BP47)</f>
        <v>15.652416727203887</v>
      </c>
      <c r="N40" s="104"/>
      <c r="O40" s="105"/>
      <c r="P40" s="103">
        <f>IF(G24="","",BP48)</f>
        <v>16.156162236734041</v>
      </c>
      <c r="Q40" s="104"/>
      <c r="R40" s="105"/>
      <c r="S40" s="103">
        <f t="shared" si="5"/>
        <v>18</v>
      </c>
      <c r="T40" s="104"/>
      <c r="U40" s="106"/>
      <c r="V40" s="20"/>
      <c r="W40" s="12"/>
      <c r="X40" s="12"/>
      <c r="Y40" s="12"/>
      <c r="Z40" s="12"/>
      <c r="AA40" s="12"/>
      <c r="AB40" s="12"/>
      <c r="AC40" s="12"/>
      <c r="AD40" s="12"/>
      <c r="AE40" s="16"/>
      <c r="AF40" s="314" t="str">
        <f t="shared" ref="AF40:AF48" si="6">IF(K40="","",IF(M40&lt;S40-$Y$11,"Acceptable","HGL Too High"))</f>
        <v>Acceptable</v>
      </c>
      <c r="AG40" s="315"/>
      <c r="AH40" s="315"/>
      <c r="AI40" s="315"/>
      <c r="AJ40" s="316"/>
      <c r="BG40" s="58">
        <f>BG39</f>
        <v>262</v>
      </c>
      <c r="BH40" s="63">
        <f>BH39+T25</f>
        <v>15.819999999999999</v>
      </c>
      <c r="BI40" s="60">
        <f>BI39+T25</f>
        <v>16.195</v>
      </c>
      <c r="BJ40" s="58">
        <f>IF(G25="",BJ39,M41)</f>
        <v>17.926502702584035</v>
      </c>
      <c r="BK40" s="58">
        <f>IF(G25="",BK39,P41)</f>
        <v>18.09363337275391</v>
      </c>
      <c r="BN40" s="58" t="s">
        <v>133</v>
      </c>
      <c r="BO40" s="58" t="s">
        <v>134</v>
      </c>
      <c r="BP40" s="58">
        <f>BP39*$BW$20</f>
        <v>1.0508373116097502</v>
      </c>
      <c r="BQ40" s="58" t="s">
        <v>29</v>
      </c>
      <c r="BU40" s="58" t="s">
        <v>72</v>
      </c>
      <c r="BV40" s="58" t="s">
        <v>84</v>
      </c>
      <c r="BW40" s="61">
        <f>$I$26</f>
        <v>50</v>
      </c>
      <c r="BX40" s="59" t="s">
        <v>29</v>
      </c>
    </row>
    <row r="41" spans="2:76">
      <c r="B41" s="11"/>
      <c r="C41" s="12"/>
      <c r="D41" s="12"/>
      <c r="E41" s="12"/>
      <c r="F41" s="13"/>
      <c r="G41" s="20"/>
      <c r="H41" s="163">
        <v>4</v>
      </c>
      <c r="I41" s="146"/>
      <c r="J41" s="147"/>
      <c r="K41" s="101">
        <f>IF(G25="","",BP62)</f>
        <v>0.50374550953015196</v>
      </c>
      <c r="L41" s="102"/>
      <c r="M41" s="103">
        <f>IF(G25="","",BP63)</f>
        <v>17.926502702584035</v>
      </c>
      <c r="N41" s="104"/>
      <c r="O41" s="105"/>
      <c r="P41" s="103">
        <f>IF(G25="","",BP64)</f>
        <v>18.09363337275391</v>
      </c>
      <c r="Q41" s="104"/>
      <c r="R41" s="105"/>
      <c r="S41" s="103">
        <f t="shared" si="5"/>
        <v>18.5</v>
      </c>
      <c r="T41" s="104"/>
      <c r="U41" s="106"/>
      <c r="V41" s="20"/>
      <c r="W41" s="12"/>
      <c r="X41" s="12"/>
      <c r="Y41" s="12"/>
      <c r="Z41" s="12"/>
      <c r="AA41" s="12"/>
      <c r="AB41" s="12"/>
      <c r="AC41" s="12"/>
      <c r="AD41" s="12"/>
      <c r="AE41" s="16"/>
      <c r="AF41" s="314" t="str">
        <f t="shared" si="6"/>
        <v>Acceptable</v>
      </c>
      <c r="AG41" s="315"/>
      <c r="AH41" s="315"/>
      <c r="AI41" s="315"/>
      <c r="AJ41" s="316"/>
      <c r="BF41" s="58">
        <v>5</v>
      </c>
      <c r="BG41" s="58">
        <f>BG25</f>
        <v>312</v>
      </c>
      <c r="BH41" s="58">
        <f>BH40+I26*O26%</f>
        <v>16.82</v>
      </c>
      <c r="BI41" s="60">
        <f>BH41+G27</f>
        <v>17.195</v>
      </c>
      <c r="BJ41" s="58">
        <f>IF(G26="",BJ40,M42-K42)</f>
        <v>18.418764790136201</v>
      </c>
      <c r="BK41" s="58">
        <f>IF(G26="",BK40,P42-K42)</f>
        <v>18.585895460306077</v>
      </c>
      <c r="BN41" s="58" t="s">
        <v>135</v>
      </c>
      <c r="BO41" s="58" t="s">
        <v>136</v>
      </c>
      <c r="BP41" s="58">
        <f>BP32+BP40</f>
        <v>15.652416727203887</v>
      </c>
      <c r="BQ41" s="58" t="s">
        <v>29</v>
      </c>
      <c r="BU41" s="58" t="s">
        <v>73</v>
      </c>
      <c r="BV41" s="58" t="s">
        <v>85</v>
      </c>
      <c r="BW41" s="61">
        <f>$O$26</f>
        <v>2</v>
      </c>
      <c r="BX41" s="59" t="s">
        <v>80</v>
      </c>
    </row>
    <row r="42" spans="2:76">
      <c r="B42" s="11"/>
      <c r="C42" s="12"/>
      <c r="D42" s="12"/>
      <c r="E42" s="12"/>
      <c r="F42" s="13"/>
      <c r="G42" s="20"/>
      <c r="H42" s="163">
        <v>5</v>
      </c>
      <c r="I42" s="146"/>
      <c r="J42" s="147"/>
      <c r="K42" s="101">
        <f>IF(G26="","",BP78)</f>
        <v>0.33426134033975152</v>
      </c>
      <c r="L42" s="102"/>
      <c r="M42" s="103">
        <f>IF(G26="","",BP79)</f>
        <v>18.753026130475952</v>
      </c>
      <c r="N42" s="104"/>
      <c r="O42" s="105"/>
      <c r="P42" s="103">
        <f>IF(G26="","",BP80)</f>
        <v>18.920156800645827</v>
      </c>
      <c r="Q42" s="104"/>
      <c r="R42" s="105"/>
      <c r="S42" s="103">
        <f t="shared" si="5"/>
        <v>19</v>
      </c>
      <c r="T42" s="104"/>
      <c r="U42" s="106"/>
      <c r="V42" s="20"/>
      <c r="W42" s="12"/>
      <c r="X42" s="12"/>
      <c r="Y42" s="12"/>
      <c r="Z42" s="12"/>
      <c r="AA42" s="12"/>
      <c r="AB42" s="12"/>
      <c r="AC42" s="12"/>
      <c r="AD42" s="12"/>
      <c r="AE42" s="16"/>
      <c r="AF42" s="314" t="str">
        <f t="shared" si="6"/>
        <v>Acceptable</v>
      </c>
      <c r="AG42" s="315"/>
      <c r="AH42" s="315"/>
      <c r="AI42" s="315"/>
      <c r="AJ42" s="316"/>
      <c r="BG42" s="58">
        <f>BG41</f>
        <v>312</v>
      </c>
      <c r="BH42" s="63">
        <f>BH41+T26</f>
        <v>16.97</v>
      </c>
      <c r="BI42" s="60">
        <f>BI41+T26</f>
        <v>17.344999999999999</v>
      </c>
      <c r="BJ42" s="58">
        <f>IF(G26="",BJ41,M42)</f>
        <v>18.753026130475952</v>
      </c>
      <c r="BK42" s="58">
        <f>IF(G26="",BK41,P42)</f>
        <v>18.920156800645827</v>
      </c>
      <c r="BN42" s="58" t="s">
        <v>137</v>
      </c>
      <c r="BO42" s="58" t="s">
        <v>138</v>
      </c>
      <c r="BP42" s="58">
        <f>BP41-$BW$23^2/(2*9.81)</f>
        <v>15.380507447590777</v>
      </c>
      <c r="BQ42" s="58" t="s">
        <v>29</v>
      </c>
      <c r="BU42" s="58" t="s">
        <v>74</v>
      </c>
      <c r="BV42" s="58" t="s">
        <v>86</v>
      </c>
      <c r="BW42" s="60">
        <f>$K$26</f>
        <v>0.2</v>
      </c>
      <c r="BX42" s="59" t="s">
        <v>79</v>
      </c>
    </row>
    <row r="43" spans="2:76">
      <c r="B43" s="11"/>
      <c r="C43" s="12"/>
      <c r="D43" s="12"/>
      <c r="E43" s="12"/>
      <c r="F43" s="13"/>
      <c r="G43" s="20"/>
      <c r="H43" s="163">
        <v>6</v>
      </c>
      <c r="I43" s="146"/>
      <c r="J43" s="147"/>
      <c r="K43" s="101">
        <f>IF(G27="","",BP94)</f>
        <v>0.16713067016987576</v>
      </c>
      <c r="L43" s="102"/>
      <c r="M43" s="103">
        <f>IF(G27="","",BP95)</f>
        <v>19.412418888197994</v>
      </c>
      <c r="N43" s="104"/>
      <c r="O43" s="105"/>
      <c r="P43" s="103">
        <f>IF(G27="","",BP96)</f>
        <v>19.579549558367869</v>
      </c>
      <c r="Q43" s="104"/>
      <c r="R43" s="105"/>
      <c r="S43" s="103">
        <f t="shared" si="5"/>
        <v>20</v>
      </c>
      <c r="T43" s="104"/>
      <c r="U43" s="106"/>
      <c r="V43" s="20"/>
      <c r="W43" s="12"/>
      <c r="X43" s="12"/>
      <c r="Y43" s="12"/>
      <c r="Z43" s="12"/>
      <c r="AA43" s="12"/>
      <c r="AB43" s="12"/>
      <c r="AC43" s="12"/>
      <c r="AD43" s="12"/>
      <c r="AE43" s="16"/>
      <c r="AF43" s="314" t="str">
        <f t="shared" si="6"/>
        <v>Acceptable</v>
      </c>
      <c r="AG43" s="315"/>
      <c r="AH43" s="315"/>
      <c r="AI43" s="315"/>
      <c r="AJ43" s="316"/>
      <c r="BF43" s="58">
        <v>6</v>
      </c>
      <c r="BG43" s="58">
        <f>BG26</f>
        <v>362</v>
      </c>
      <c r="BH43" s="58">
        <f>BH42+I27*O27%</f>
        <v>18.47</v>
      </c>
      <c r="BI43" s="60">
        <f>BH43+G28</f>
        <v>18.844999999999999</v>
      </c>
      <c r="BJ43" s="58">
        <f>IF(G27="",BJ42,M43-K43)</f>
        <v>19.245288218028119</v>
      </c>
      <c r="BK43" s="58">
        <f>IF(G27="",BK42,P43-K43)</f>
        <v>19.412418888197994</v>
      </c>
      <c r="BU43" s="58" t="s">
        <v>75</v>
      </c>
      <c r="BV43" s="58" t="s">
        <v>87</v>
      </c>
      <c r="BW43" s="58">
        <f>BW42/BW39</f>
        <v>1.8108295747344538</v>
      </c>
      <c r="BX43" s="59" t="s">
        <v>81</v>
      </c>
    </row>
    <row r="44" spans="2:76">
      <c r="B44" s="11"/>
      <c r="C44" s="12"/>
      <c r="D44" s="12"/>
      <c r="E44" s="12"/>
      <c r="F44" s="13"/>
      <c r="G44" s="20"/>
      <c r="H44" s="163">
        <v>7</v>
      </c>
      <c r="I44" s="146"/>
      <c r="J44" s="147"/>
      <c r="K44" s="101">
        <f>IF(G28="","",BP110)</f>
        <v>0.16713067016987576</v>
      </c>
      <c r="L44" s="102"/>
      <c r="M44" s="103">
        <f>IF(G28="","",BP111)</f>
        <v>20.071811645920036</v>
      </c>
      <c r="N44" s="104"/>
      <c r="O44" s="105"/>
      <c r="P44" s="103">
        <f>IF(G28="","",BP112)</f>
        <v>20.238942316089911</v>
      </c>
      <c r="Q44" s="104"/>
      <c r="R44" s="105"/>
      <c r="S44" s="103">
        <f t="shared" si="5"/>
        <v>21</v>
      </c>
      <c r="T44" s="104"/>
      <c r="U44" s="106"/>
      <c r="V44" s="20"/>
      <c r="W44" s="12"/>
      <c r="X44" s="12"/>
      <c r="Y44" s="12"/>
      <c r="Z44" s="12"/>
      <c r="AA44" s="12"/>
      <c r="AB44" s="12"/>
      <c r="AC44" s="12"/>
      <c r="AD44" s="12"/>
      <c r="AE44" s="16"/>
      <c r="AF44" s="314" t="str">
        <f t="shared" si="6"/>
        <v>Acceptable</v>
      </c>
      <c r="AG44" s="315"/>
      <c r="AH44" s="315"/>
      <c r="AI44" s="315"/>
      <c r="AJ44" s="316"/>
      <c r="BG44" s="58">
        <f>BG43</f>
        <v>362</v>
      </c>
      <c r="BH44" s="63">
        <f>BH43+T27</f>
        <v>18.57</v>
      </c>
      <c r="BI44" s="60">
        <f>BI43+T27</f>
        <v>18.945</v>
      </c>
      <c r="BJ44" s="58">
        <f>IF(G27="",BJ43,M43)</f>
        <v>19.412418888197994</v>
      </c>
      <c r="BK44" s="58">
        <f>IF(G27="",BK43,P43)</f>
        <v>19.579549558367869</v>
      </c>
      <c r="BN44" s="58" t="s">
        <v>143</v>
      </c>
      <c r="BU44" s="58" t="s">
        <v>76</v>
      </c>
      <c r="BV44" s="58" t="s">
        <v>88</v>
      </c>
      <c r="BW44" s="63">
        <f>BW35+$T$25</f>
        <v>15.819999999999999</v>
      </c>
      <c r="BX44" s="59" t="s">
        <v>29</v>
      </c>
    </row>
    <row r="45" spans="2:76">
      <c r="B45" s="11"/>
      <c r="C45" s="12"/>
      <c r="D45" s="12"/>
      <c r="E45" s="12"/>
      <c r="F45" s="13"/>
      <c r="G45" s="20"/>
      <c r="H45" s="163">
        <v>8</v>
      </c>
      <c r="I45" s="146"/>
      <c r="J45" s="147"/>
      <c r="K45" s="101">
        <f>IF(G29="","",BP126)</f>
        <v>0.16713067016987576</v>
      </c>
      <c r="L45" s="102"/>
      <c r="M45" s="103">
        <f>IF(G29="","",BP127)</f>
        <v>20.731204403642078</v>
      </c>
      <c r="N45" s="104"/>
      <c r="O45" s="105"/>
      <c r="P45" s="103">
        <f>IF(G29="","",BP128)</f>
        <v>20.898335073811953</v>
      </c>
      <c r="Q45" s="104"/>
      <c r="R45" s="105"/>
      <c r="S45" s="103">
        <f t="shared" si="5"/>
        <v>22</v>
      </c>
      <c r="T45" s="104"/>
      <c r="U45" s="106"/>
      <c r="V45" s="20"/>
      <c r="W45" s="12"/>
      <c r="X45" s="12"/>
      <c r="Y45" s="12"/>
      <c r="Z45" s="12"/>
      <c r="AA45" s="12"/>
      <c r="AB45" s="12"/>
      <c r="AC45" s="12"/>
      <c r="AD45" s="12"/>
      <c r="AE45" s="16"/>
      <c r="AF45" s="314" t="str">
        <f>IF(K45="","",IF(M45&lt;S45-$Y$11,"Acceptable","HGL Too High"))</f>
        <v>Acceptable</v>
      </c>
      <c r="AG45" s="315"/>
      <c r="AH45" s="315"/>
      <c r="AI45" s="315"/>
      <c r="AJ45" s="316"/>
      <c r="BF45" s="58">
        <v>7</v>
      </c>
      <c r="BG45" s="58">
        <f>BG27</f>
        <v>412</v>
      </c>
      <c r="BH45" s="58">
        <f>BH44+I28*O28%</f>
        <v>19.07</v>
      </c>
      <c r="BI45" s="60">
        <f>BH45+G29</f>
        <v>19.445</v>
      </c>
      <c r="BJ45" s="58">
        <f>IF(G28="",BJ44,M44-K44)</f>
        <v>19.904680975750161</v>
      </c>
      <c r="BK45" s="58">
        <f>IF(G28="",BK44,P44-K44)</f>
        <v>20.071811645920036</v>
      </c>
      <c r="BN45" s="58" t="s">
        <v>113</v>
      </c>
      <c r="BO45" s="58" t="s">
        <v>115</v>
      </c>
      <c r="BP45" s="63">
        <f>$AF$24</f>
        <v>1</v>
      </c>
      <c r="BU45" s="58" t="s">
        <v>77</v>
      </c>
      <c r="BV45" s="58" t="s">
        <v>89</v>
      </c>
      <c r="BW45" s="58">
        <f>BW44+BW40*BW41%</f>
        <v>16.82</v>
      </c>
      <c r="BX45" s="59" t="s">
        <v>29</v>
      </c>
    </row>
    <row r="46" spans="2:76">
      <c r="B46" s="11"/>
      <c r="C46" s="12"/>
      <c r="D46" s="12"/>
      <c r="E46" s="12"/>
      <c r="F46" s="13"/>
      <c r="G46" s="20"/>
      <c r="H46" s="163">
        <v>9</v>
      </c>
      <c r="I46" s="146"/>
      <c r="J46" s="147"/>
      <c r="K46" s="101">
        <f>IF(G30="","",BP142)</f>
        <v>0.16713067016987576</v>
      </c>
      <c r="L46" s="102"/>
      <c r="M46" s="103">
        <f>IF(G30="","",BP143)</f>
        <v>21.39059716136412</v>
      </c>
      <c r="N46" s="104"/>
      <c r="O46" s="105"/>
      <c r="P46" s="103">
        <f>IF(G30="","",BP144)</f>
        <v>21.557727831533995</v>
      </c>
      <c r="Q46" s="104"/>
      <c r="R46" s="105"/>
      <c r="S46" s="103">
        <f t="shared" si="5"/>
        <v>23</v>
      </c>
      <c r="T46" s="362"/>
      <c r="U46" s="363"/>
      <c r="V46" s="20"/>
      <c r="W46" s="12"/>
      <c r="X46" s="12"/>
      <c r="Y46" s="12"/>
      <c r="Z46" s="12"/>
      <c r="AA46" s="12"/>
      <c r="AB46" s="12"/>
      <c r="AC46" s="12"/>
      <c r="AD46" s="12"/>
      <c r="AE46" s="16"/>
      <c r="AF46" s="314" t="str">
        <f>IF(K46="","",IF(M46&lt;S46-$Y$11,"Acceptable","HGL Too High"))</f>
        <v>Acceptable</v>
      </c>
      <c r="AG46" s="315"/>
      <c r="AH46" s="315"/>
      <c r="AI46" s="315"/>
      <c r="AJ46" s="316"/>
      <c r="BG46" s="58">
        <f>BG45</f>
        <v>412</v>
      </c>
      <c r="BH46" s="63">
        <f>BH45+T28</f>
        <v>19.170000000000002</v>
      </c>
      <c r="BI46" s="60">
        <f>BI45+T28</f>
        <v>19.545000000000002</v>
      </c>
      <c r="BJ46" s="58">
        <f>IF(G28="",BJ45,M44)</f>
        <v>20.071811645920036</v>
      </c>
      <c r="BK46" s="58">
        <f>IF(G28="",BK45,P44)</f>
        <v>20.238942316089911</v>
      </c>
      <c r="BN46" s="58" t="s">
        <v>114</v>
      </c>
      <c r="BO46" s="58" t="s">
        <v>116</v>
      </c>
      <c r="BP46" s="58">
        <f>BP45*($BW$23^2/(2*9.81))</f>
        <v>0.27190927961311007</v>
      </c>
    </row>
    <row r="47" spans="2:76">
      <c r="B47" s="11"/>
      <c r="C47" s="12"/>
      <c r="D47" s="12"/>
      <c r="E47" s="12"/>
      <c r="F47" s="13"/>
      <c r="G47" s="20"/>
      <c r="H47" s="163">
        <v>10</v>
      </c>
      <c r="I47" s="146"/>
      <c r="J47" s="147"/>
      <c r="K47" s="101">
        <f>IF(G31="","",BP158)</f>
        <v>0.16713067016987576</v>
      </c>
      <c r="L47" s="102"/>
      <c r="M47" s="103">
        <f>IF(G31="","",BP159)</f>
        <v>22.049989919086162</v>
      </c>
      <c r="N47" s="104"/>
      <c r="O47" s="105"/>
      <c r="P47" s="103">
        <f>IF(G31="","",BP160)</f>
        <v>22.217120589256037</v>
      </c>
      <c r="Q47" s="104"/>
      <c r="R47" s="105"/>
      <c r="S47" s="103">
        <f t="shared" si="5"/>
        <v>24</v>
      </c>
      <c r="T47" s="104"/>
      <c r="U47" s="106"/>
      <c r="V47" s="20"/>
      <c r="W47" s="12"/>
      <c r="X47" s="12"/>
      <c r="Y47" s="12"/>
      <c r="Z47" s="12"/>
      <c r="AA47" s="12"/>
      <c r="AB47" s="12"/>
      <c r="AC47" s="12"/>
      <c r="AD47" s="12"/>
      <c r="AE47" s="16"/>
      <c r="AF47" s="314" t="str">
        <f t="shared" si="6"/>
        <v>Acceptable</v>
      </c>
      <c r="AG47" s="315"/>
      <c r="AH47" s="315"/>
      <c r="AI47" s="315"/>
      <c r="AJ47" s="316"/>
      <c r="BF47" s="58">
        <v>8</v>
      </c>
      <c r="BG47" s="58">
        <f>BG28</f>
        <v>462</v>
      </c>
      <c r="BH47" s="58">
        <f>BH46+I29*O29%</f>
        <v>19.670000000000002</v>
      </c>
      <c r="BI47" s="60">
        <f>BH47+G30</f>
        <v>20.045000000000002</v>
      </c>
      <c r="BJ47" s="58">
        <f>IF(G29="",BJ46,M45-K45)</f>
        <v>20.564073733472203</v>
      </c>
      <c r="BK47" s="58">
        <f>IF(G29="",BK46,P45-K45)</f>
        <v>20.731204403642078</v>
      </c>
      <c r="BN47" s="58" t="s">
        <v>117</v>
      </c>
      <c r="BO47" s="58" t="s">
        <v>118</v>
      </c>
      <c r="BP47" s="58">
        <f>BP42+BP46</f>
        <v>15.652416727203887</v>
      </c>
      <c r="BQ47" s="58" t="s">
        <v>29</v>
      </c>
      <c r="BU47" s="58" t="s">
        <v>93</v>
      </c>
    </row>
    <row r="48" spans="2:76" ht="15" thickBot="1">
      <c r="B48" s="11"/>
      <c r="C48" s="12"/>
      <c r="D48" s="12"/>
      <c r="E48" s="12"/>
      <c r="F48" s="13"/>
      <c r="G48" s="20"/>
      <c r="H48" s="165">
        <v>11</v>
      </c>
      <c r="I48" s="152"/>
      <c r="J48" s="153"/>
      <c r="K48" s="95">
        <f>IF(G32="","",BP174)</f>
        <v>0.16713067016987576</v>
      </c>
      <c r="L48" s="96"/>
      <c r="M48" s="87">
        <f>IF(G32="","",BP175)</f>
        <v>22.709382676808204</v>
      </c>
      <c r="N48" s="88"/>
      <c r="O48" s="89"/>
      <c r="P48" s="87">
        <f>IF(G32="","",BP176)</f>
        <v>22.876513346978079</v>
      </c>
      <c r="Q48" s="88"/>
      <c r="R48" s="89"/>
      <c r="S48" s="87">
        <f t="shared" si="5"/>
        <v>25</v>
      </c>
      <c r="T48" s="88"/>
      <c r="U48" s="90"/>
      <c r="V48" s="20"/>
      <c r="W48" s="12"/>
      <c r="X48" s="12"/>
      <c r="Y48" s="12"/>
      <c r="Z48" s="12"/>
      <c r="AA48" s="12"/>
      <c r="AB48" s="12"/>
      <c r="AC48" s="12"/>
      <c r="AD48" s="12"/>
      <c r="AE48" s="16"/>
      <c r="AF48" s="314" t="str">
        <f t="shared" si="6"/>
        <v>Acceptable</v>
      </c>
      <c r="AG48" s="315"/>
      <c r="AH48" s="315"/>
      <c r="AI48" s="315"/>
      <c r="AJ48" s="316"/>
      <c r="BG48" s="58">
        <f>BG47</f>
        <v>462</v>
      </c>
      <c r="BH48" s="63">
        <f>BH47+T29</f>
        <v>19.87</v>
      </c>
      <c r="BI48" s="60">
        <f>BI47+T29</f>
        <v>20.245000000000001</v>
      </c>
      <c r="BJ48" s="58">
        <f>IF(G29="",BJ47,M45)</f>
        <v>20.731204403642078</v>
      </c>
      <c r="BK48" s="58">
        <f>IF(G29="",BK47,P45)</f>
        <v>20.898335073811953</v>
      </c>
      <c r="BN48" s="58" t="s">
        <v>120</v>
      </c>
      <c r="BO48" s="58" t="s">
        <v>121</v>
      </c>
      <c r="BP48" s="58">
        <f>BP47+(IF($G$25="",$BW$23,$BW$33)^2/(2*9.81))</f>
        <v>16.156162236734041</v>
      </c>
      <c r="BQ48" s="58" t="s">
        <v>29</v>
      </c>
      <c r="BU48" s="58" t="s">
        <v>70</v>
      </c>
      <c r="BV48" s="58" t="s">
        <v>82</v>
      </c>
      <c r="BW48" s="60">
        <f>$G$27</f>
        <v>0.375</v>
      </c>
      <c r="BX48" s="59" t="s">
        <v>29</v>
      </c>
    </row>
    <row r="49" spans="2:76" ht="15" thickBot="1">
      <c r="B49" s="11"/>
      <c r="C49" s="12"/>
      <c r="D49" s="12"/>
      <c r="E49" s="12"/>
      <c r="F49" s="13"/>
      <c r="G49" s="20"/>
      <c r="H49" s="19"/>
      <c r="I49" s="19"/>
      <c r="J49" s="19"/>
      <c r="K49" s="19"/>
      <c r="L49" s="19"/>
      <c r="M49" s="19"/>
      <c r="N49" s="19"/>
      <c r="O49" s="19"/>
      <c r="P49" s="19"/>
      <c r="Q49" s="19"/>
      <c r="R49" s="19"/>
      <c r="S49" s="19"/>
      <c r="T49" s="19"/>
      <c r="U49" s="19"/>
      <c r="V49" s="19"/>
      <c r="W49" s="19"/>
      <c r="X49" s="19"/>
      <c r="Y49" s="19"/>
      <c r="Z49" s="19"/>
      <c r="AA49" s="19"/>
      <c r="AB49" s="19"/>
      <c r="AC49" s="12"/>
      <c r="AD49" s="12"/>
      <c r="AE49" s="16"/>
      <c r="AF49" s="17"/>
      <c r="AG49" s="12"/>
      <c r="AH49" s="12"/>
      <c r="AI49" s="12"/>
      <c r="AJ49" s="18"/>
      <c r="BF49" s="58">
        <v>9</v>
      </c>
      <c r="BG49" s="58">
        <f>BG29</f>
        <v>512</v>
      </c>
      <c r="BH49" s="58">
        <f>BH48+I30*O30%</f>
        <v>20.37</v>
      </c>
      <c r="BI49" s="60">
        <f>BH49+G31</f>
        <v>20.745000000000001</v>
      </c>
      <c r="BJ49" s="58">
        <f>IF(G30="",BJ48,M46-K46)</f>
        <v>21.223466491194245</v>
      </c>
      <c r="BK49" s="58">
        <f>IF(G30="",BK48,P46-K46)</f>
        <v>21.39059716136412</v>
      </c>
      <c r="BU49" s="58" t="s">
        <v>71</v>
      </c>
      <c r="BV49" s="58" t="s">
        <v>83</v>
      </c>
      <c r="BW49" s="58">
        <f>PI()*(BW48/2)^2</f>
        <v>0.11044661672776616</v>
      </c>
      <c r="BX49" s="59" t="s">
        <v>78</v>
      </c>
    </row>
    <row r="50" spans="2:76">
      <c r="B50" s="11"/>
      <c r="C50" s="12"/>
      <c r="D50" s="12"/>
      <c r="E50" s="12"/>
      <c r="F50" s="13"/>
      <c r="G50" s="20"/>
      <c r="H50" s="343" t="s">
        <v>164</v>
      </c>
      <c r="I50" s="344"/>
      <c r="J50" s="345"/>
      <c r="K50" s="357" t="s">
        <v>165</v>
      </c>
      <c r="L50" s="353"/>
      <c r="M50" s="358"/>
      <c r="N50" s="361" t="s">
        <v>166</v>
      </c>
      <c r="O50" s="353"/>
      <c r="P50" s="358"/>
      <c r="Q50" s="361" t="s">
        <v>122</v>
      </c>
      <c r="R50" s="353"/>
      <c r="S50" s="358"/>
      <c r="T50" s="349" t="s">
        <v>119</v>
      </c>
      <c r="U50" s="350"/>
      <c r="V50" s="350"/>
      <c r="W50" s="349" t="s">
        <v>163</v>
      </c>
      <c r="X50" s="350"/>
      <c r="Y50" s="350"/>
      <c r="Z50" s="352" t="s">
        <v>43</v>
      </c>
      <c r="AA50" s="353"/>
      <c r="AB50" s="354"/>
      <c r="AC50" s="12"/>
      <c r="AD50" s="12"/>
      <c r="AE50" s="16"/>
      <c r="AF50" s="17"/>
      <c r="AG50" s="12"/>
      <c r="AH50" s="12"/>
      <c r="AI50" s="12"/>
      <c r="AJ50" s="18"/>
      <c r="BG50" s="58">
        <f>BG49</f>
        <v>512</v>
      </c>
      <c r="BH50" s="63">
        <f>BH49+T30</f>
        <v>20.67</v>
      </c>
      <c r="BI50" s="60">
        <f>BI49+T30</f>
        <v>21.045000000000002</v>
      </c>
      <c r="BJ50" s="58">
        <f>IF(G30="",BJ49,M46)</f>
        <v>21.39059716136412</v>
      </c>
      <c r="BK50" s="58">
        <f>IF(G30="",BK49,P46)</f>
        <v>21.557727831533995</v>
      </c>
      <c r="BN50" s="58" t="s">
        <v>144</v>
      </c>
      <c r="BU50" s="58" t="s">
        <v>72</v>
      </c>
      <c r="BV50" s="58" t="s">
        <v>84</v>
      </c>
      <c r="BW50" s="61">
        <f>$I$27</f>
        <v>50</v>
      </c>
      <c r="BX50" s="59" t="s">
        <v>29</v>
      </c>
    </row>
    <row r="51" spans="2:76" ht="15" thickBot="1">
      <c r="B51" s="11"/>
      <c r="C51" s="12"/>
      <c r="D51" s="12"/>
      <c r="E51" s="12"/>
      <c r="F51" s="13"/>
      <c r="G51" s="20"/>
      <c r="H51" s="346"/>
      <c r="I51" s="347"/>
      <c r="J51" s="348"/>
      <c r="K51" s="359"/>
      <c r="L51" s="355"/>
      <c r="M51" s="360"/>
      <c r="N51" s="355"/>
      <c r="O51" s="355"/>
      <c r="P51" s="360"/>
      <c r="Q51" s="355"/>
      <c r="R51" s="355"/>
      <c r="S51" s="360"/>
      <c r="T51" s="351"/>
      <c r="U51" s="351"/>
      <c r="V51" s="351"/>
      <c r="W51" s="351"/>
      <c r="X51" s="351"/>
      <c r="Y51" s="351"/>
      <c r="Z51" s="355"/>
      <c r="AA51" s="355"/>
      <c r="AB51" s="356"/>
      <c r="AC51" s="12"/>
      <c r="AD51" s="12"/>
      <c r="AE51" s="16"/>
      <c r="AF51" s="17"/>
      <c r="AG51" s="12"/>
      <c r="AH51" s="12"/>
      <c r="AI51" s="12"/>
      <c r="AJ51" s="18"/>
      <c r="BF51" s="58">
        <v>10</v>
      </c>
      <c r="BG51" s="58">
        <f>BG30</f>
        <v>562</v>
      </c>
      <c r="BH51" s="58">
        <f>BH50+I31*O31%</f>
        <v>21.17</v>
      </c>
      <c r="BI51" s="60">
        <f>BH51+G32</f>
        <v>21.545000000000002</v>
      </c>
      <c r="BJ51" s="58">
        <f>IF(G31="",BJ50,M47-K47)</f>
        <v>21.882859248916287</v>
      </c>
      <c r="BK51" s="58">
        <f>IF(G31="",BK50,P47-K47)</f>
        <v>22.049989919086162</v>
      </c>
      <c r="BN51" s="58" t="s">
        <v>123</v>
      </c>
      <c r="BO51" s="58" t="s">
        <v>124</v>
      </c>
      <c r="BP51" s="60">
        <f>$M$25*10^-3</f>
        <v>5.9999999999999995E-4</v>
      </c>
      <c r="BQ51" s="58" t="s">
        <v>64</v>
      </c>
      <c r="BU51" s="58" t="s">
        <v>73</v>
      </c>
      <c r="BV51" s="58" t="s">
        <v>85</v>
      </c>
      <c r="BW51" s="61">
        <f>$O$27</f>
        <v>3</v>
      </c>
      <c r="BX51" s="59" t="s">
        <v>80</v>
      </c>
    </row>
    <row r="52" spans="2:76">
      <c r="B52" s="11"/>
      <c r="C52" s="12"/>
      <c r="D52" s="12"/>
      <c r="E52" s="12"/>
      <c r="F52" s="13"/>
      <c r="G52" s="20"/>
      <c r="H52" s="277">
        <v>1</v>
      </c>
      <c r="I52" s="278"/>
      <c r="J52" s="279"/>
      <c r="K52" s="91">
        <f>IF(G23="","",BP21)</f>
        <v>1214923.2297091247</v>
      </c>
      <c r="L52" s="92"/>
      <c r="M52" s="92"/>
      <c r="N52" s="93">
        <f>IF(G23="","",BP22)</f>
        <v>1.9635357457849546E-2</v>
      </c>
      <c r="O52" s="94"/>
      <c r="P52" s="94"/>
      <c r="Q52" s="93">
        <f>IF(G23="","",BP24)</f>
        <v>1.0210466238252827</v>
      </c>
      <c r="R52" s="94"/>
      <c r="S52" s="94"/>
      <c r="T52" s="80">
        <f>IF(G23="","",BP25)</f>
        <v>14.329670135981026</v>
      </c>
      <c r="U52" s="81"/>
      <c r="V52" s="81"/>
      <c r="W52" s="80">
        <f>IF(G23="","",BP26)</f>
        <v>13.971046623825282</v>
      </c>
      <c r="X52" s="81"/>
      <c r="Y52" s="81"/>
      <c r="Z52" s="80">
        <f t="shared" ref="Z52:Z61" si="7">IF(G23="","",S39)</f>
        <v>17</v>
      </c>
      <c r="AA52" s="81"/>
      <c r="AB52" s="82"/>
      <c r="AC52" s="12"/>
      <c r="AD52" s="12"/>
      <c r="AE52" s="16"/>
      <c r="AF52" s="314" t="str">
        <f>IF(G23="","",IF(W52&lt;Z52-Y11,"Acceptable","HGL Too High"))</f>
        <v>Acceptable</v>
      </c>
      <c r="AG52" s="332"/>
      <c r="AH52" s="332"/>
      <c r="AI52" s="332"/>
      <c r="AJ52" s="333"/>
      <c r="BG52" s="58">
        <f>BG51</f>
        <v>562</v>
      </c>
      <c r="BH52" s="63">
        <f>BH51+T31</f>
        <v>21.57</v>
      </c>
      <c r="BI52" s="60">
        <f>BI51+T31</f>
        <v>21.945</v>
      </c>
      <c r="BJ52" s="58">
        <f>IF(G31="",BJ51,M47)</f>
        <v>22.049989919086162</v>
      </c>
      <c r="BK52" s="58">
        <f>IF(G31="",BK51,P47)</f>
        <v>22.217120589256037</v>
      </c>
      <c r="BN52" s="58" t="s">
        <v>125</v>
      </c>
      <c r="BO52" s="58" t="s">
        <v>126</v>
      </c>
      <c r="BP52" s="58">
        <f>1.31*10^-6</f>
        <v>1.31E-6</v>
      </c>
      <c r="BQ52" s="58" t="s">
        <v>139</v>
      </c>
      <c r="BU52" s="58" t="s">
        <v>74</v>
      </c>
      <c r="BV52" s="58" t="s">
        <v>86</v>
      </c>
      <c r="BW52" s="60">
        <f>$K$27</f>
        <v>0.2</v>
      </c>
      <c r="BX52" s="59" t="s">
        <v>79</v>
      </c>
    </row>
    <row r="53" spans="2:76">
      <c r="B53" s="11"/>
      <c r="C53" s="12"/>
      <c r="D53" s="12"/>
      <c r="E53" s="12"/>
      <c r="F53" s="13"/>
      <c r="G53" s="20"/>
      <c r="H53" s="280">
        <v>2</v>
      </c>
      <c r="I53" s="281"/>
      <c r="J53" s="282"/>
      <c r="K53" s="83">
        <f>IF(G24="","",BP37)</f>
        <v>925655.79406409524</v>
      </c>
      <c r="L53" s="84"/>
      <c r="M53" s="84"/>
      <c r="N53" s="85">
        <f>IF(G24="","",BP38)</f>
        <v>2.0289472627785937E-2</v>
      </c>
      <c r="O53" s="86"/>
      <c r="P53" s="86"/>
      <c r="Q53" s="85">
        <f>IF(G24="","",BP40)</f>
        <v>1.0508373116097502</v>
      </c>
      <c r="R53" s="86"/>
      <c r="S53" s="86"/>
      <c r="T53" s="70">
        <f>IF(G24="","",BP41)</f>
        <v>15.652416727203887</v>
      </c>
      <c r="U53" s="71"/>
      <c r="V53" s="71"/>
      <c r="W53" s="70">
        <f>IF(G24="","",BP42)</f>
        <v>15.380507447590777</v>
      </c>
      <c r="X53" s="71"/>
      <c r="Y53" s="71"/>
      <c r="Z53" s="70">
        <f t="shared" si="7"/>
        <v>18</v>
      </c>
      <c r="AA53" s="71"/>
      <c r="AB53" s="72"/>
      <c r="AC53" s="12"/>
      <c r="AD53" s="12"/>
      <c r="AE53" s="16"/>
      <c r="AF53" s="314" t="str">
        <f>IF(G24="","",IF(W53&lt;Z53-Y11,"Acceptable","HGL Too High"))</f>
        <v>Acceptable</v>
      </c>
      <c r="AG53" s="332"/>
      <c r="AH53" s="332"/>
      <c r="AI53" s="332"/>
      <c r="AJ53" s="333"/>
      <c r="BF53" s="58">
        <v>11</v>
      </c>
      <c r="BG53" s="61">
        <f>BG31</f>
        <v>612</v>
      </c>
      <c r="BH53" s="58">
        <f>BH52+I32*O32%</f>
        <v>22.07</v>
      </c>
      <c r="BI53" s="60">
        <f>BH53+G32</f>
        <v>22.445</v>
      </c>
      <c r="BJ53" s="58">
        <f>IF(G32="",BJ52,M48-K48)</f>
        <v>22.542252006638329</v>
      </c>
      <c r="BK53" s="58">
        <f>IF(G32="",BK52,P48-K48)</f>
        <v>22.709382676808204</v>
      </c>
      <c r="BN53" s="58" t="s">
        <v>127</v>
      </c>
      <c r="BO53" s="58" t="s">
        <v>128</v>
      </c>
      <c r="BP53" s="58">
        <f>($BW$33*$BW$28/BP52)</f>
        <v>1079931.7597414441</v>
      </c>
      <c r="BU53" s="58" t="s">
        <v>75</v>
      </c>
      <c r="BV53" s="58" t="s">
        <v>87</v>
      </c>
      <c r="BW53" s="58">
        <f>BW52/BW49</f>
        <v>1.8108295747344538</v>
      </c>
      <c r="BX53" s="59" t="s">
        <v>81</v>
      </c>
    </row>
    <row r="54" spans="2:76">
      <c r="B54" s="11"/>
      <c r="C54" s="12"/>
      <c r="D54" s="12"/>
      <c r="E54" s="12"/>
      <c r="F54" s="13"/>
      <c r="G54" s="20"/>
      <c r="H54" s="280">
        <v>3</v>
      </c>
      <c r="I54" s="281"/>
      <c r="J54" s="282"/>
      <c r="K54" s="83">
        <f>IF(G25="","",BP53)</f>
        <v>1079931.7597414441</v>
      </c>
      <c r="L54" s="84"/>
      <c r="M54" s="84"/>
      <c r="N54" s="85">
        <f>IF(G25="","",BP54)</f>
        <v>2.1086128995983E-2</v>
      </c>
      <c r="O54" s="86"/>
      <c r="P54" s="86"/>
      <c r="Q54" s="85">
        <f>IF(G25="","",BP56)</f>
        <v>1.7703404658499948</v>
      </c>
      <c r="R54" s="86"/>
      <c r="S54" s="86"/>
      <c r="T54" s="70">
        <f>IF(G25="","",BP57)</f>
        <v>17.926502702584035</v>
      </c>
      <c r="U54" s="71"/>
      <c r="V54" s="71"/>
      <c r="W54" s="70">
        <f>IF(G25="","",BP58)</f>
        <v>17.422757193053883</v>
      </c>
      <c r="X54" s="71"/>
      <c r="Y54" s="71"/>
      <c r="Z54" s="70">
        <f t="shared" si="7"/>
        <v>18.5</v>
      </c>
      <c r="AA54" s="71"/>
      <c r="AB54" s="72"/>
      <c r="AC54" s="12"/>
      <c r="AD54" s="12"/>
      <c r="AE54" s="16"/>
      <c r="AF54" s="314" t="str">
        <f>IF(G25="","",IF(W54&lt;Z54-Y11,"Acceptable","HGL Too High"))</f>
        <v>Acceptable</v>
      </c>
      <c r="AG54" s="332"/>
      <c r="AH54" s="332"/>
      <c r="AI54" s="332"/>
      <c r="AJ54" s="333"/>
      <c r="BG54" s="58">
        <f>BG53</f>
        <v>612</v>
      </c>
      <c r="BH54" s="63">
        <f>BH53+T32</f>
        <v>22.17</v>
      </c>
      <c r="BI54" s="60">
        <f>BI53+T32</f>
        <v>22.545000000000002</v>
      </c>
      <c r="BJ54" s="58">
        <f>IF(G32="",BJ53,M48)</f>
        <v>22.709382676808204</v>
      </c>
      <c r="BK54" s="58">
        <f>IF(G32="",BK53,P48)</f>
        <v>22.876513346978079</v>
      </c>
      <c r="BN54" s="58" t="s">
        <v>129</v>
      </c>
      <c r="BO54" s="58" t="s">
        <v>130</v>
      </c>
      <c r="BP54" s="58">
        <f>(1/(-2*LOG10((BP51/(3.7*$BW$28)))+(5.1286/BP53^0.89)))^2</f>
        <v>2.1086128995983E-2</v>
      </c>
      <c r="BQ54" s="62"/>
      <c r="BU54" s="58" t="s">
        <v>76</v>
      </c>
      <c r="BV54" s="58" t="s">
        <v>88</v>
      </c>
      <c r="BW54" s="63">
        <f>BW45+$T$26</f>
        <v>16.97</v>
      </c>
      <c r="BX54" s="59" t="s">
        <v>29</v>
      </c>
    </row>
    <row r="55" spans="2:76">
      <c r="B55" s="11"/>
      <c r="C55" s="12"/>
      <c r="D55" s="12"/>
      <c r="E55" s="12"/>
      <c r="F55" s="13"/>
      <c r="G55" s="20"/>
      <c r="H55" s="280">
        <v>4</v>
      </c>
      <c r="I55" s="281"/>
      <c r="J55" s="282"/>
      <c r="K55" s="83">
        <f>IF(G26="","",BP69)</f>
        <v>518367.24467589328</v>
      </c>
      <c r="L55" s="84"/>
      <c r="M55" s="84"/>
      <c r="N55" s="85">
        <f>IF(G26="","",BP70)</f>
        <v>2.2090294096760582E-2</v>
      </c>
      <c r="O55" s="86"/>
      <c r="P55" s="86"/>
      <c r="Q55" s="85">
        <f>IF(G26="","",BP72)</f>
        <v>0.49226208755216627</v>
      </c>
      <c r="R55" s="86"/>
      <c r="S55" s="86"/>
      <c r="T55" s="70">
        <f>IF(G26="","",BP73)</f>
        <v>18.585895460306077</v>
      </c>
      <c r="U55" s="71"/>
      <c r="V55" s="71"/>
      <c r="W55" s="70">
        <f>IF(G26="","",BP74)</f>
        <v>18.418764790136201</v>
      </c>
      <c r="X55" s="71"/>
      <c r="Y55" s="71"/>
      <c r="Z55" s="70">
        <f t="shared" si="7"/>
        <v>19</v>
      </c>
      <c r="AA55" s="71"/>
      <c r="AB55" s="72"/>
      <c r="AC55" s="12"/>
      <c r="AD55" s="12"/>
      <c r="AE55" s="16"/>
      <c r="AF55" s="314" t="str">
        <f>IF(G26="","",IF(W55&lt;Z55-Y11,"Acceptable","HGL Too High"))</f>
        <v>Acceptable</v>
      </c>
      <c r="AG55" s="332"/>
      <c r="AH55" s="332"/>
      <c r="AI55" s="332"/>
      <c r="AJ55" s="333"/>
      <c r="BN55" s="58" t="s">
        <v>131</v>
      </c>
      <c r="BO55" s="58" t="s">
        <v>132</v>
      </c>
      <c r="BP55" s="58">
        <f>BP54*$BW$33^2/(2*9.81*$BW$28)</f>
        <v>2.3604539544666597E-2</v>
      </c>
      <c r="BQ55" s="58" t="s">
        <v>29</v>
      </c>
      <c r="BU55" s="58" t="s">
        <v>77</v>
      </c>
      <c r="BV55" s="58" t="s">
        <v>89</v>
      </c>
      <c r="BW55" s="58">
        <f>BW54+BW50*BW51%</f>
        <v>18.47</v>
      </c>
      <c r="BX55" s="59" t="s">
        <v>29</v>
      </c>
    </row>
    <row r="56" spans="2:76">
      <c r="B56" s="11"/>
      <c r="C56" s="12"/>
      <c r="D56" s="12"/>
      <c r="E56" s="12"/>
      <c r="F56" s="13"/>
      <c r="G56" s="20"/>
      <c r="H56" s="280">
        <v>5</v>
      </c>
      <c r="I56" s="281"/>
      <c r="J56" s="282"/>
      <c r="K56" s="83">
        <f>IF(G27="","",BP85)</f>
        <v>518367.24467589328</v>
      </c>
      <c r="L56" s="84"/>
      <c r="M56" s="84"/>
      <c r="N56" s="85">
        <f>IF(G27="","",BP86)</f>
        <v>2.2090294096760582E-2</v>
      </c>
      <c r="O56" s="86"/>
      <c r="P56" s="86"/>
      <c r="Q56" s="85">
        <f>IF(G27="","",BP88)</f>
        <v>0.49226208755216627</v>
      </c>
      <c r="R56" s="86"/>
      <c r="S56" s="86"/>
      <c r="T56" s="70">
        <f>IF(G27="","",BP89)</f>
        <v>19.412418888197994</v>
      </c>
      <c r="U56" s="71"/>
      <c r="V56" s="71"/>
      <c r="W56" s="70">
        <f>IF(G27="","",BP90)</f>
        <v>19.245288218028119</v>
      </c>
      <c r="X56" s="71"/>
      <c r="Y56" s="71"/>
      <c r="Z56" s="70">
        <f t="shared" si="7"/>
        <v>20</v>
      </c>
      <c r="AA56" s="71"/>
      <c r="AB56" s="72"/>
      <c r="AC56" s="12"/>
      <c r="AD56" s="12"/>
      <c r="AE56" s="16"/>
      <c r="AF56" s="314" t="str">
        <f>IF(G27="","",IF(W56&lt;Z56-Y11,"Acceptable","HGL Too High"))</f>
        <v>Acceptable</v>
      </c>
      <c r="AG56" s="332"/>
      <c r="AH56" s="332"/>
      <c r="AI56" s="332"/>
      <c r="AJ56" s="333"/>
      <c r="BN56" s="58" t="s">
        <v>133</v>
      </c>
      <c r="BO56" s="58" t="s">
        <v>134</v>
      </c>
      <c r="BP56" s="58">
        <f>BP55*$BW$30</f>
        <v>1.7703404658499948</v>
      </c>
      <c r="BQ56" s="58" t="s">
        <v>29</v>
      </c>
    </row>
    <row r="57" spans="2:76">
      <c r="B57" s="11"/>
      <c r="C57" s="12"/>
      <c r="D57" s="12"/>
      <c r="E57" s="12"/>
      <c r="F57" s="13"/>
      <c r="G57" s="20"/>
      <c r="H57" s="280">
        <v>6</v>
      </c>
      <c r="I57" s="281"/>
      <c r="J57" s="282"/>
      <c r="K57" s="83">
        <f>IF(G28="","",BP101)</f>
        <v>518367.24467589328</v>
      </c>
      <c r="L57" s="84"/>
      <c r="M57" s="84"/>
      <c r="N57" s="85">
        <f>IF(G28="","",BP102)</f>
        <v>2.2090294096760582E-2</v>
      </c>
      <c r="O57" s="86"/>
      <c r="P57" s="86"/>
      <c r="Q57" s="85">
        <f>IF(G28="","",BP104)</f>
        <v>0.49226208755216627</v>
      </c>
      <c r="R57" s="86"/>
      <c r="S57" s="86"/>
      <c r="T57" s="70">
        <f>IF(G28="","",BP105)</f>
        <v>20.071811645920036</v>
      </c>
      <c r="U57" s="71"/>
      <c r="V57" s="71"/>
      <c r="W57" s="70">
        <f>IF(G28="","",BP106)</f>
        <v>19.904680975750161</v>
      </c>
      <c r="X57" s="71"/>
      <c r="Y57" s="71"/>
      <c r="Z57" s="70">
        <f t="shared" si="7"/>
        <v>21</v>
      </c>
      <c r="AA57" s="71"/>
      <c r="AB57" s="72"/>
      <c r="AC57" s="12"/>
      <c r="AD57" s="12"/>
      <c r="AE57" s="16"/>
      <c r="AF57" s="314" t="str">
        <f>IF(G28="","",IF(W57&lt;Z57-Y11,"Acceptable","HGL Too High"))</f>
        <v>Acceptable</v>
      </c>
      <c r="AG57" s="332"/>
      <c r="AH57" s="332"/>
      <c r="AI57" s="332"/>
      <c r="AJ57" s="333"/>
      <c r="BN57" s="58" t="s">
        <v>135</v>
      </c>
      <c r="BO57" s="58" t="s">
        <v>136</v>
      </c>
      <c r="BP57" s="58">
        <f>BP48+BP56</f>
        <v>17.926502702584035</v>
      </c>
      <c r="BQ57" s="58" t="s">
        <v>29</v>
      </c>
      <c r="BU57" s="58" t="s">
        <v>94</v>
      </c>
    </row>
    <row r="58" spans="2:76">
      <c r="B58" s="11"/>
      <c r="C58" s="12"/>
      <c r="D58" s="12"/>
      <c r="E58" s="12"/>
      <c r="F58" s="13"/>
      <c r="G58" s="20"/>
      <c r="H58" s="280">
        <v>7</v>
      </c>
      <c r="I58" s="281"/>
      <c r="J58" s="282"/>
      <c r="K58" s="83">
        <f>IF(G29="","",BP117)</f>
        <v>518367.24467589328</v>
      </c>
      <c r="L58" s="84"/>
      <c r="M58" s="84"/>
      <c r="N58" s="85">
        <f>IF(G29="","",BP118)</f>
        <v>2.2090294096760582E-2</v>
      </c>
      <c r="O58" s="86"/>
      <c r="P58" s="86"/>
      <c r="Q58" s="85">
        <f>IF(G29="","",BP120)</f>
        <v>0.49226208755216627</v>
      </c>
      <c r="R58" s="86"/>
      <c r="S58" s="86"/>
      <c r="T58" s="70">
        <f>IF(G29="","",BP121)</f>
        <v>20.731204403642078</v>
      </c>
      <c r="U58" s="71"/>
      <c r="V58" s="71"/>
      <c r="W58" s="70">
        <f>IF(G29="","",BP122)</f>
        <v>20.564073733472203</v>
      </c>
      <c r="X58" s="71"/>
      <c r="Y58" s="71"/>
      <c r="Z58" s="70">
        <f t="shared" si="7"/>
        <v>22</v>
      </c>
      <c r="AA58" s="71"/>
      <c r="AB58" s="72"/>
      <c r="AC58" s="12"/>
      <c r="AD58" s="12"/>
      <c r="AE58" s="16"/>
      <c r="AF58" s="314" t="str">
        <f>IF(G29="","",IF(W58&lt;Z58-Y11,"Acceptable","HGL Too High"))</f>
        <v>Acceptable</v>
      </c>
      <c r="AG58" s="332"/>
      <c r="AH58" s="332"/>
      <c r="AI58" s="332"/>
      <c r="AJ58" s="333"/>
      <c r="BN58" s="58" t="s">
        <v>137</v>
      </c>
      <c r="BO58" s="58" t="s">
        <v>138</v>
      </c>
      <c r="BP58" s="58">
        <f>BP57-$BW$33^2/(2*9.81)</f>
        <v>17.422757193053883</v>
      </c>
      <c r="BQ58" s="58" t="s">
        <v>29</v>
      </c>
      <c r="BU58" s="58" t="s">
        <v>70</v>
      </c>
      <c r="BV58" s="58" t="s">
        <v>82</v>
      </c>
      <c r="BW58" s="60">
        <f>$G$28</f>
        <v>0.375</v>
      </c>
      <c r="BX58" s="59" t="s">
        <v>29</v>
      </c>
    </row>
    <row r="59" spans="2:76">
      <c r="B59" s="11"/>
      <c r="C59" s="12"/>
      <c r="D59" s="12"/>
      <c r="E59" s="12"/>
      <c r="F59" s="13"/>
      <c r="G59" s="20"/>
      <c r="H59" s="280">
        <v>8</v>
      </c>
      <c r="I59" s="281"/>
      <c r="J59" s="282"/>
      <c r="K59" s="83">
        <f>IF(G30="","",BP133)</f>
        <v>518367.24467589328</v>
      </c>
      <c r="L59" s="84"/>
      <c r="M59" s="84"/>
      <c r="N59" s="85">
        <f>IF(G30="","",BP134)</f>
        <v>2.2090294096760582E-2</v>
      </c>
      <c r="O59" s="86"/>
      <c r="P59" s="86"/>
      <c r="Q59" s="85">
        <f>IF(G30="","",BP136)</f>
        <v>0.49226208755216627</v>
      </c>
      <c r="R59" s="86"/>
      <c r="S59" s="86"/>
      <c r="T59" s="70">
        <f>IF(G30="","",BP137)</f>
        <v>21.39059716136412</v>
      </c>
      <c r="U59" s="71"/>
      <c r="V59" s="71"/>
      <c r="W59" s="70">
        <f>IF(G30="","",BP138)</f>
        <v>21.223466491194245</v>
      </c>
      <c r="X59" s="71"/>
      <c r="Y59" s="71"/>
      <c r="Z59" s="70">
        <f t="shared" si="7"/>
        <v>23</v>
      </c>
      <c r="AA59" s="71"/>
      <c r="AB59" s="72"/>
      <c r="AC59" s="12"/>
      <c r="AD59" s="12"/>
      <c r="AE59" s="16"/>
      <c r="AF59" s="314" t="str">
        <f>IF(G30="","",IF(W59&lt;Z59-Y11,"Acceptable","HGL Too High"))</f>
        <v>Acceptable</v>
      </c>
      <c r="AG59" s="332"/>
      <c r="AH59" s="332"/>
      <c r="AI59" s="332"/>
      <c r="AJ59" s="333"/>
      <c r="BU59" s="58" t="s">
        <v>71</v>
      </c>
      <c r="BV59" s="58" t="s">
        <v>83</v>
      </c>
      <c r="BW59" s="58">
        <f>PI()*(BW58/2)^2</f>
        <v>0.11044661672776616</v>
      </c>
      <c r="BX59" s="59" t="s">
        <v>78</v>
      </c>
    </row>
    <row r="60" spans="2:76">
      <c r="B60" s="11"/>
      <c r="C60" s="12"/>
      <c r="D60" s="12"/>
      <c r="E60" s="12"/>
      <c r="F60" s="13"/>
      <c r="G60" s="20"/>
      <c r="H60" s="280">
        <v>9</v>
      </c>
      <c r="I60" s="281"/>
      <c r="J60" s="282"/>
      <c r="K60" s="83">
        <f>IF(G31="","",BP149)</f>
        <v>518367.24467589328</v>
      </c>
      <c r="L60" s="84"/>
      <c r="M60" s="84"/>
      <c r="N60" s="85">
        <f>IF(G31="","",BP150)</f>
        <v>2.2090294096760582E-2</v>
      </c>
      <c r="O60" s="86"/>
      <c r="P60" s="86"/>
      <c r="Q60" s="85">
        <f>IF(G31="","",BP152)</f>
        <v>0.49226208755216627</v>
      </c>
      <c r="R60" s="86"/>
      <c r="S60" s="86"/>
      <c r="T60" s="70">
        <f>IF(G31="","",BP153)</f>
        <v>22.049989919086162</v>
      </c>
      <c r="U60" s="71"/>
      <c r="V60" s="71"/>
      <c r="W60" s="70">
        <f>IF(G31="","",BP154)</f>
        <v>21.882859248916287</v>
      </c>
      <c r="X60" s="71"/>
      <c r="Y60" s="71"/>
      <c r="Z60" s="70">
        <f t="shared" si="7"/>
        <v>24</v>
      </c>
      <c r="AA60" s="71"/>
      <c r="AB60" s="72"/>
      <c r="AC60" s="12"/>
      <c r="AD60" s="12"/>
      <c r="AE60" s="16"/>
      <c r="AF60" s="314" t="str">
        <f>IF(G31="","",IF(W60&lt;Z60-Y11,"Acceptable","HGL Too High"))</f>
        <v>Acceptable</v>
      </c>
      <c r="AG60" s="332"/>
      <c r="AH60" s="332"/>
      <c r="AI60" s="332"/>
      <c r="AJ60" s="333"/>
      <c r="BN60" s="58" t="s">
        <v>145</v>
      </c>
      <c r="BU60" s="58" t="s">
        <v>72</v>
      </c>
      <c r="BV60" s="58" t="s">
        <v>84</v>
      </c>
      <c r="BW60" s="61">
        <f>$I$28</f>
        <v>50</v>
      </c>
      <c r="BX60" s="59" t="s">
        <v>29</v>
      </c>
    </row>
    <row r="61" spans="2:76" ht="15" thickBot="1">
      <c r="B61" s="11"/>
      <c r="C61" s="12"/>
      <c r="D61" s="12"/>
      <c r="E61" s="12"/>
      <c r="F61" s="13"/>
      <c r="G61" s="20"/>
      <c r="H61" s="375">
        <v>10</v>
      </c>
      <c r="I61" s="351"/>
      <c r="J61" s="376"/>
      <c r="K61" s="73">
        <f>IF(G32="","",BP165)</f>
        <v>518367.24467589328</v>
      </c>
      <c r="L61" s="74"/>
      <c r="M61" s="74"/>
      <c r="N61" s="75">
        <f>IF(G32="","",BP166)</f>
        <v>2.2090294096760582E-2</v>
      </c>
      <c r="O61" s="76"/>
      <c r="P61" s="76"/>
      <c r="Q61" s="75">
        <f>IF(G32="","",BP168)</f>
        <v>0.49226208755216627</v>
      </c>
      <c r="R61" s="76"/>
      <c r="S61" s="76"/>
      <c r="T61" s="77">
        <f>IF(G32="","",BP169)</f>
        <v>22.709382676808204</v>
      </c>
      <c r="U61" s="78"/>
      <c r="V61" s="78"/>
      <c r="W61" s="77">
        <f>IF(G32="","",BP170)</f>
        <v>22.542252006638329</v>
      </c>
      <c r="X61" s="78"/>
      <c r="Y61" s="78"/>
      <c r="Z61" s="77">
        <f t="shared" si="7"/>
        <v>25</v>
      </c>
      <c r="AA61" s="78"/>
      <c r="AB61" s="79"/>
      <c r="AC61" s="12"/>
      <c r="AD61" s="12"/>
      <c r="AE61" s="16"/>
      <c r="AF61" s="314" t="str">
        <f>IF(G32="","",IF(W61&lt;Z61-Y11,"Acceptable","HGL Too High"))</f>
        <v>Acceptable</v>
      </c>
      <c r="AG61" s="332"/>
      <c r="AH61" s="332"/>
      <c r="AI61" s="332"/>
      <c r="AJ61" s="333"/>
      <c r="BN61" s="58" t="s">
        <v>113</v>
      </c>
      <c r="BO61" s="58" t="s">
        <v>115</v>
      </c>
      <c r="BP61" s="63">
        <f>$AF$25</f>
        <v>1</v>
      </c>
      <c r="BU61" s="58" t="s">
        <v>73</v>
      </c>
      <c r="BV61" s="58" t="s">
        <v>85</v>
      </c>
      <c r="BW61" s="61">
        <f>$O$28</f>
        <v>1</v>
      </c>
      <c r="BX61" s="59" t="s">
        <v>80</v>
      </c>
    </row>
    <row r="62" spans="2:76">
      <c r="B62" s="11"/>
      <c r="C62" s="12"/>
      <c r="D62" s="12"/>
      <c r="E62" s="12"/>
      <c r="F62" s="13"/>
      <c r="G62" s="20"/>
      <c r="H62" s="4"/>
      <c r="I62" s="4"/>
      <c r="J62" s="4"/>
      <c r="K62" s="4"/>
      <c r="L62" s="4"/>
      <c r="M62" s="4"/>
      <c r="N62" s="4"/>
      <c r="O62" s="4"/>
      <c r="P62" s="4"/>
      <c r="Q62" s="4"/>
      <c r="R62" s="4"/>
      <c r="S62" s="4"/>
      <c r="T62" s="4"/>
      <c r="U62" s="4"/>
      <c r="V62" s="4"/>
      <c r="W62" s="4"/>
      <c r="X62" s="4"/>
      <c r="Y62" s="4"/>
      <c r="Z62" s="4"/>
      <c r="AA62" s="4"/>
      <c r="AB62" s="4"/>
      <c r="AC62" s="12"/>
      <c r="AD62" s="12"/>
      <c r="AE62" s="16"/>
      <c r="AF62" s="17"/>
      <c r="AG62" s="12"/>
      <c r="AH62" s="12"/>
      <c r="AI62" s="12"/>
      <c r="AJ62" s="18"/>
      <c r="BN62" s="58" t="s">
        <v>114</v>
      </c>
      <c r="BO62" s="58" t="s">
        <v>116</v>
      </c>
      <c r="BP62" s="58">
        <f>BP61*($BW$33^2/(2*9.81))</f>
        <v>0.50374550953015196</v>
      </c>
      <c r="BU62" s="58" t="s">
        <v>74</v>
      </c>
      <c r="BV62" s="58" t="s">
        <v>86</v>
      </c>
      <c r="BW62" s="60">
        <f>$K$28</f>
        <v>0.2</v>
      </c>
      <c r="BX62" s="59" t="s">
        <v>79</v>
      </c>
    </row>
    <row r="63" spans="2:76" ht="15" thickBot="1">
      <c r="B63" s="25"/>
      <c r="C63" s="26"/>
      <c r="D63" s="26"/>
      <c r="E63" s="26"/>
      <c r="F63" s="27"/>
      <c r="G63" s="28"/>
      <c r="H63" s="26"/>
      <c r="I63" s="26"/>
      <c r="J63" s="26"/>
      <c r="K63" s="26"/>
      <c r="L63" s="26"/>
      <c r="M63" s="26"/>
      <c r="N63" s="26"/>
      <c r="O63" s="26"/>
      <c r="P63" s="26"/>
      <c r="Q63" s="26"/>
      <c r="R63" s="26"/>
      <c r="S63" s="26"/>
      <c r="T63" s="26"/>
      <c r="U63" s="26"/>
      <c r="V63" s="26"/>
      <c r="W63" s="26"/>
      <c r="X63" s="26"/>
      <c r="Y63" s="26"/>
      <c r="Z63" s="26"/>
      <c r="AA63" s="26"/>
      <c r="AB63" s="26"/>
      <c r="AC63" s="26"/>
      <c r="AD63" s="26"/>
      <c r="AE63" s="2"/>
      <c r="AF63" s="29"/>
      <c r="AG63" s="26"/>
      <c r="AH63" s="26"/>
      <c r="AI63" s="26"/>
      <c r="AJ63" s="30"/>
      <c r="BN63" s="58" t="s">
        <v>117</v>
      </c>
      <c r="BO63" s="58" t="s">
        <v>118</v>
      </c>
      <c r="BP63" s="58">
        <f>BP58+BP62</f>
        <v>17.926502702584035</v>
      </c>
      <c r="BQ63" s="58" t="s">
        <v>29</v>
      </c>
      <c r="BU63" s="58" t="s">
        <v>75</v>
      </c>
      <c r="BV63" s="58" t="s">
        <v>87</v>
      </c>
      <c r="BW63" s="58">
        <f>BW62/BW59</f>
        <v>1.8108295747344538</v>
      </c>
      <c r="BX63" s="59" t="s">
        <v>81</v>
      </c>
    </row>
    <row r="64" spans="2:76">
      <c r="BN64" s="58" t="s">
        <v>120</v>
      </c>
      <c r="BO64" s="58" t="s">
        <v>121</v>
      </c>
      <c r="BP64" s="58">
        <f>BP63+(IF($G$26="",$BW$33,$BW$43)^2/(2*9.81))</f>
        <v>18.09363337275391</v>
      </c>
      <c r="BQ64" s="58" t="s">
        <v>29</v>
      </c>
      <c r="BU64" s="58" t="s">
        <v>76</v>
      </c>
      <c r="BV64" s="58" t="s">
        <v>88</v>
      </c>
      <c r="BW64" s="63">
        <f>BW55+$T$27</f>
        <v>18.57</v>
      </c>
      <c r="BX64" s="59" t="s">
        <v>29</v>
      </c>
    </row>
    <row r="65" spans="66:76">
      <c r="BU65" s="58" t="s">
        <v>77</v>
      </c>
      <c r="BV65" s="58" t="s">
        <v>89</v>
      </c>
      <c r="BW65" s="58">
        <f>BW64+BW60*BW61%</f>
        <v>19.07</v>
      </c>
      <c r="BX65" s="59" t="s">
        <v>29</v>
      </c>
    </row>
    <row r="66" spans="66:76">
      <c r="BN66" s="58" t="s">
        <v>146</v>
      </c>
    </row>
    <row r="67" spans="66:76" ht="15" customHeight="1">
      <c r="BN67" s="58" t="s">
        <v>123</v>
      </c>
      <c r="BO67" s="58" t="s">
        <v>124</v>
      </c>
      <c r="BP67" s="60">
        <f>$M$26*10^-3</f>
        <v>5.9999999999999995E-4</v>
      </c>
      <c r="BQ67" s="58" t="s">
        <v>64</v>
      </c>
      <c r="BU67" s="58" t="s">
        <v>96</v>
      </c>
    </row>
    <row r="68" spans="66:76">
      <c r="BN68" s="58" t="s">
        <v>125</v>
      </c>
      <c r="BO68" s="58" t="s">
        <v>126</v>
      </c>
      <c r="BP68" s="58">
        <f>1.31*10^-6</f>
        <v>1.31E-6</v>
      </c>
      <c r="BQ68" s="58" t="s">
        <v>139</v>
      </c>
      <c r="BU68" s="58" t="s">
        <v>70</v>
      </c>
      <c r="BV68" s="58" t="s">
        <v>82</v>
      </c>
      <c r="BW68" s="60">
        <f>$G$29</f>
        <v>0.375</v>
      </c>
      <c r="BX68" s="59" t="s">
        <v>29</v>
      </c>
    </row>
    <row r="69" spans="66:76">
      <c r="BN69" s="58" t="s">
        <v>127</v>
      </c>
      <c r="BO69" s="58" t="s">
        <v>128</v>
      </c>
      <c r="BP69" s="58">
        <f>($BW$43*$BW$38/BP68)</f>
        <v>518367.24467589328</v>
      </c>
      <c r="BU69" s="58" t="s">
        <v>71</v>
      </c>
      <c r="BV69" s="58" t="s">
        <v>83</v>
      </c>
      <c r="BW69" s="58">
        <f>PI()*(BW68/2)^2</f>
        <v>0.11044661672776616</v>
      </c>
      <c r="BX69" s="59" t="s">
        <v>78</v>
      </c>
    </row>
    <row r="70" spans="66:76">
      <c r="BN70" s="58" t="s">
        <v>129</v>
      </c>
      <c r="BO70" s="58" t="s">
        <v>130</v>
      </c>
      <c r="BP70" s="58">
        <f>(1/(-2*LOG10((BP67/(3.7*$BW$38)))+(5.1286/BP69^0.89)))^2</f>
        <v>2.2090294096760582E-2</v>
      </c>
      <c r="BQ70" s="62"/>
      <c r="BU70" s="58" t="s">
        <v>72</v>
      </c>
      <c r="BV70" s="58" t="s">
        <v>84</v>
      </c>
      <c r="BW70" s="61">
        <f>$I$29</f>
        <v>50</v>
      </c>
      <c r="BX70" s="59" t="s">
        <v>29</v>
      </c>
    </row>
    <row r="71" spans="66:76">
      <c r="BN71" s="58" t="s">
        <v>131</v>
      </c>
      <c r="BO71" s="58" t="s">
        <v>132</v>
      </c>
      <c r="BP71" s="58">
        <f>BP70*$BW$43^2/(2*9.81*$BW$38)</f>
        <v>9.8452417510433259E-3</v>
      </c>
      <c r="BQ71" s="58" t="s">
        <v>29</v>
      </c>
      <c r="BU71" s="58" t="s">
        <v>73</v>
      </c>
      <c r="BV71" s="58" t="s">
        <v>85</v>
      </c>
      <c r="BW71" s="61">
        <f>$O$29</f>
        <v>1</v>
      </c>
      <c r="BX71" s="59" t="s">
        <v>80</v>
      </c>
    </row>
    <row r="72" spans="66:76">
      <c r="BN72" s="58" t="s">
        <v>133</v>
      </c>
      <c r="BO72" s="58" t="s">
        <v>134</v>
      </c>
      <c r="BP72" s="58">
        <f>BP71*$BW$40</f>
        <v>0.49226208755216627</v>
      </c>
      <c r="BQ72" s="58" t="s">
        <v>29</v>
      </c>
      <c r="BU72" s="58" t="s">
        <v>74</v>
      </c>
      <c r="BV72" s="58" t="s">
        <v>86</v>
      </c>
      <c r="BW72" s="60">
        <f>$K$29</f>
        <v>0.2</v>
      </c>
      <c r="BX72" s="59" t="s">
        <v>79</v>
      </c>
    </row>
    <row r="73" spans="66:76">
      <c r="BN73" s="58" t="s">
        <v>135</v>
      </c>
      <c r="BO73" s="58" t="s">
        <v>136</v>
      </c>
      <c r="BP73" s="58">
        <f>BP64+BP72</f>
        <v>18.585895460306077</v>
      </c>
      <c r="BQ73" s="58" t="s">
        <v>29</v>
      </c>
      <c r="BU73" s="58" t="s">
        <v>75</v>
      </c>
      <c r="BV73" s="58" t="s">
        <v>87</v>
      </c>
      <c r="BW73" s="58">
        <f>BW72/BW69</f>
        <v>1.8108295747344538</v>
      </c>
      <c r="BX73" s="59" t="s">
        <v>81</v>
      </c>
    </row>
    <row r="74" spans="66:76">
      <c r="BN74" s="58" t="s">
        <v>137</v>
      </c>
      <c r="BO74" s="58" t="s">
        <v>138</v>
      </c>
      <c r="BP74" s="58">
        <f>BP73-$BW$43^2/(2*9.81)</f>
        <v>18.418764790136201</v>
      </c>
      <c r="BQ74" s="58" t="s">
        <v>29</v>
      </c>
      <c r="BU74" s="58" t="s">
        <v>76</v>
      </c>
      <c r="BV74" s="58" t="s">
        <v>88</v>
      </c>
      <c r="BW74" s="63">
        <f>BW65+$T$28</f>
        <v>19.170000000000002</v>
      </c>
      <c r="BX74" s="59" t="s">
        <v>29</v>
      </c>
    </row>
    <row r="75" spans="66:76">
      <c r="BU75" s="58" t="s">
        <v>77</v>
      </c>
      <c r="BV75" s="58" t="s">
        <v>89</v>
      </c>
      <c r="BW75" s="58">
        <f>BW74+BW70*BW71%</f>
        <v>19.670000000000002</v>
      </c>
      <c r="BX75" s="59" t="s">
        <v>29</v>
      </c>
    </row>
    <row r="76" spans="66:76">
      <c r="BN76" s="58" t="s">
        <v>147</v>
      </c>
      <c r="BX76" s="58"/>
    </row>
    <row r="77" spans="66:76">
      <c r="BN77" s="58" t="s">
        <v>113</v>
      </c>
      <c r="BO77" s="58" t="s">
        <v>115</v>
      </c>
      <c r="BP77" s="63">
        <f>$AF$26</f>
        <v>2</v>
      </c>
      <c r="BU77" s="58" t="s">
        <v>95</v>
      </c>
    </row>
    <row r="78" spans="66:76">
      <c r="BN78" s="58" t="s">
        <v>114</v>
      </c>
      <c r="BO78" s="58" t="s">
        <v>116</v>
      </c>
      <c r="BP78" s="58">
        <f>BP77*($BW$43^2/(2*9.81))</f>
        <v>0.33426134033975152</v>
      </c>
      <c r="BU78" s="58" t="s">
        <v>70</v>
      </c>
      <c r="BV78" s="58" t="s">
        <v>82</v>
      </c>
      <c r="BW78" s="60">
        <f>$G$30</f>
        <v>0.375</v>
      </c>
      <c r="BX78" s="59" t="s">
        <v>29</v>
      </c>
    </row>
    <row r="79" spans="66:76">
      <c r="BN79" s="58" t="s">
        <v>117</v>
      </c>
      <c r="BO79" s="58" t="s">
        <v>118</v>
      </c>
      <c r="BP79" s="58">
        <f>BP74+BP78</f>
        <v>18.753026130475952</v>
      </c>
      <c r="BQ79" s="58" t="s">
        <v>29</v>
      </c>
      <c r="BU79" s="58" t="s">
        <v>71</v>
      </c>
      <c r="BV79" s="58" t="s">
        <v>83</v>
      </c>
      <c r="BW79" s="58">
        <f>PI()*(BW78/2)^2</f>
        <v>0.11044661672776616</v>
      </c>
      <c r="BX79" s="59" t="s">
        <v>78</v>
      </c>
    </row>
    <row r="80" spans="66:76">
      <c r="BN80" s="58" t="s">
        <v>120</v>
      </c>
      <c r="BO80" s="58" t="s">
        <v>121</v>
      </c>
      <c r="BP80" s="58">
        <f>BP79+(IF($G$27="",$BW$43,$BW$53)^2/(2*9.81))</f>
        <v>18.920156800645827</v>
      </c>
      <c r="BQ80" s="58" t="s">
        <v>29</v>
      </c>
      <c r="BU80" s="58" t="s">
        <v>72</v>
      </c>
      <c r="BV80" s="58" t="s">
        <v>84</v>
      </c>
      <c r="BW80" s="61">
        <f>$I$30</f>
        <v>50</v>
      </c>
      <c r="BX80" s="59" t="s">
        <v>29</v>
      </c>
    </row>
    <row r="81" spans="66:76">
      <c r="BU81" s="58" t="s">
        <v>73</v>
      </c>
      <c r="BV81" s="58" t="s">
        <v>85</v>
      </c>
      <c r="BW81" s="61">
        <f>$O$30</f>
        <v>1</v>
      </c>
      <c r="BX81" s="59" t="s">
        <v>80</v>
      </c>
    </row>
    <row r="82" spans="66:76">
      <c r="BN82" s="58" t="s">
        <v>148</v>
      </c>
      <c r="BU82" s="58" t="s">
        <v>74</v>
      </c>
      <c r="BV82" s="58" t="s">
        <v>86</v>
      </c>
      <c r="BW82" s="60">
        <f>$K$30</f>
        <v>0.2</v>
      </c>
      <c r="BX82" s="59" t="s">
        <v>79</v>
      </c>
    </row>
    <row r="83" spans="66:76">
      <c r="BN83" s="58" t="s">
        <v>123</v>
      </c>
      <c r="BO83" s="58" t="s">
        <v>124</v>
      </c>
      <c r="BP83" s="60">
        <f>$M$27*10^-3</f>
        <v>5.9999999999999995E-4</v>
      </c>
      <c r="BQ83" s="58" t="s">
        <v>64</v>
      </c>
      <c r="BU83" s="58" t="s">
        <v>75</v>
      </c>
      <c r="BV83" s="58" t="s">
        <v>87</v>
      </c>
      <c r="BW83" s="58">
        <f>BW82/BW79</f>
        <v>1.8108295747344538</v>
      </c>
      <c r="BX83" s="59" t="s">
        <v>81</v>
      </c>
    </row>
    <row r="84" spans="66:76">
      <c r="BN84" s="58" t="s">
        <v>125</v>
      </c>
      <c r="BO84" s="58" t="s">
        <v>126</v>
      </c>
      <c r="BP84" s="58">
        <f>1.31*10^-6</f>
        <v>1.31E-6</v>
      </c>
      <c r="BQ84" s="58" t="s">
        <v>139</v>
      </c>
      <c r="BU84" s="58" t="s">
        <v>76</v>
      </c>
      <c r="BV84" s="58" t="s">
        <v>88</v>
      </c>
      <c r="BW84" s="63">
        <f>BW75+$T$29</f>
        <v>19.87</v>
      </c>
      <c r="BX84" s="59" t="s">
        <v>29</v>
      </c>
    </row>
    <row r="85" spans="66:76">
      <c r="BN85" s="58" t="s">
        <v>127</v>
      </c>
      <c r="BO85" s="58" t="s">
        <v>128</v>
      </c>
      <c r="BP85" s="58">
        <f>($BW$53*$BW$48/BP84)</f>
        <v>518367.24467589328</v>
      </c>
      <c r="BU85" s="58" t="s">
        <v>77</v>
      </c>
      <c r="BV85" s="58" t="s">
        <v>89</v>
      </c>
      <c r="BW85" s="58">
        <f>BW84+BW80*BW81%</f>
        <v>20.37</v>
      </c>
      <c r="BX85" s="59" t="s">
        <v>29</v>
      </c>
    </row>
    <row r="86" spans="66:76">
      <c r="BN86" s="58" t="s">
        <v>129</v>
      </c>
      <c r="BO86" s="58" t="s">
        <v>130</v>
      </c>
      <c r="BP86" s="58">
        <f>(1/(-2*LOG10((BP83/(3.7*$BW$48)))+(5.1286/BP85^0.89)))^2</f>
        <v>2.2090294096760582E-2</v>
      </c>
      <c r="BQ86" s="62"/>
      <c r="BX86" s="58"/>
    </row>
    <row r="87" spans="66:76">
      <c r="BN87" s="58" t="s">
        <v>131</v>
      </c>
      <c r="BO87" s="58" t="s">
        <v>132</v>
      </c>
      <c r="BP87" s="58">
        <f>BP86*$BW$53^2/(2*9.81*$BW$48)</f>
        <v>9.8452417510433259E-3</v>
      </c>
      <c r="BQ87" s="58" t="s">
        <v>29</v>
      </c>
      <c r="BU87" s="58" t="s">
        <v>97</v>
      </c>
    </row>
    <row r="88" spans="66:76">
      <c r="BN88" s="58" t="s">
        <v>133</v>
      </c>
      <c r="BO88" s="58" t="s">
        <v>134</v>
      </c>
      <c r="BP88" s="58">
        <f>BP87*$BW$50</f>
        <v>0.49226208755216627</v>
      </c>
      <c r="BQ88" s="58" t="s">
        <v>29</v>
      </c>
      <c r="BU88" s="58" t="s">
        <v>70</v>
      </c>
      <c r="BV88" s="58" t="s">
        <v>82</v>
      </c>
      <c r="BW88" s="60">
        <f>$G$31</f>
        <v>0.375</v>
      </c>
      <c r="BX88" s="59" t="s">
        <v>29</v>
      </c>
    </row>
    <row r="89" spans="66:76">
      <c r="BN89" s="58" t="s">
        <v>135</v>
      </c>
      <c r="BO89" s="58" t="s">
        <v>136</v>
      </c>
      <c r="BP89" s="58">
        <f>BP80+BP88</f>
        <v>19.412418888197994</v>
      </c>
      <c r="BQ89" s="58" t="s">
        <v>29</v>
      </c>
      <c r="BU89" s="58" t="s">
        <v>71</v>
      </c>
      <c r="BV89" s="58" t="s">
        <v>83</v>
      </c>
      <c r="BW89" s="58">
        <f>PI()*(BW88/2)^2</f>
        <v>0.11044661672776616</v>
      </c>
      <c r="BX89" s="59" t="s">
        <v>78</v>
      </c>
    </row>
    <row r="90" spans="66:76">
      <c r="BN90" s="58" t="s">
        <v>137</v>
      </c>
      <c r="BO90" s="58" t="s">
        <v>138</v>
      </c>
      <c r="BP90" s="58">
        <f>BP89-$BW$53^2/(2*9.81)</f>
        <v>19.245288218028119</v>
      </c>
      <c r="BQ90" s="58" t="s">
        <v>29</v>
      </c>
      <c r="BU90" s="58" t="s">
        <v>72</v>
      </c>
      <c r="BV90" s="58" t="s">
        <v>84</v>
      </c>
      <c r="BW90" s="61">
        <f>$I$31</f>
        <v>50</v>
      </c>
      <c r="BX90" s="59" t="s">
        <v>29</v>
      </c>
    </row>
    <row r="91" spans="66:76">
      <c r="BU91" s="58" t="s">
        <v>73</v>
      </c>
      <c r="BV91" s="58" t="s">
        <v>85</v>
      </c>
      <c r="BW91" s="61">
        <f>$O$31</f>
        <v>1</v>
      </c>
      <c r="BX91" s="59" t="s">
        <v>80</v>
      </c>
    </row>
    <row r="92" spans="66:76">
      <c r="BN92" s="58" t="s">
        <v>149</v>
      </c>
      <c r="BU92" s="58" t="s">
        <v>74</v>
      </c>
      <c r="BV92" s="58" t="s">
        <v>86</v>
      </c>
      <c r="BW92" s="60">
        <f>$K$31</f>
        <v>0.2</v>
      </c>
      <c r="BX92" s="59" t="s">
        <v>79</v>
      </c>
    </row>
    <row r="93" spans="66:76">
      <c r="BN93" s="58" t="s">
        <v>113</v>
      </c>
      <c r="BO93" s="58" t="s">
        <v>115</v>
      </c>
      <c r="BP93" s="63">
        <f>$AF$27</f>
        <v>1</v>
      </c>
      <c r="BU93" s="58" t="s">
        <v>75</v>
      </c>
      <c r="BV93" s="58" t="s">
        <v>87</v>
      </c>
      <c r="BW93" s="58">
        <f>BW92/BW89</f>
        <v>1.8108295747344538</v>
      </c>
      <c r="BX93" s="59" t="s">
        <v>81</v>
      </c>
    </row>
    <row r="94" spans="66:76">
      <c r="BN94" s="58" t="s">
        <v>114</v>
      </c>
      <c r="BO94" s="58" t="s">
        <v>116</v>
      </c>
      <c r="BP94" s="58">
        <f>BP93*($BW$53^2/(2*9.81))</f>
        <v>0.16713067016987576</v>
      </c>
      <c r="BU94" s="58" t="s">
        <v>76</v>
      </c>
      <c r="BV94" s="58" t="s">
        <v>88</v>
      </c>
      <c r="BW94" s="63">
        <f>BW85+$T$30</f>
        <v>20.67</v>
      </c>
      <c r="BX94" s="59" t="s">
        <v>29</v>
      </c>
    </row>
    <row r="95" spans="66:76">
      <c r="BN95" s="58" t="s">
        <v>117</v>
      </c>
      <c r="BO95" s="58" t="s">
        <v>118</v>
      </c>
      <c r="BP95" s="58">
        <f>BP90+BP94</f>
        <v>19.412418888197994</v>
      </c>
      <c r="BQ95" s="58" t="s">
        <v>29</v>
      </c>
      <c r="BU95" s="58" t="s">
        <v>77</v>
      </c>
      <c r="BV95" s="58" t="s">
        <v>89</v>
      </c>
      <c r="BW95" s="58">
        <f>BW94+BW90*BW91%</f>
        <v>21.17</v>
      </c>
      <c r="BX95" s="59" t="s">
        <v>29</v>
      </c>
    </row>
    <row r="96" spans="66:76">
      <c r="BN96" s="58" t="s">
        <v>120</v>
      </c>
      <c r="BO96" s="58" t="s">
        <v>121</v>
      </c>
      <c r="BP96" s="58">
        <f>BP95+(IF($G$28="",$BW$53,$BW$63)^2/(2*9.81))</f>
        <v>19.579549558367869</v>
      </c>
      <c r="BQ96" s="58" t="s">
        <v>29</v>
      </c>
      <c r="BX96" s="58"/>
    </row>
    <row r="97" spans="66:76">
      <c r="BU97" s="58" t="s">
        <v>98</v>
      </c>
    </row>
    <row r="98" spans="66:76">
      <c r="BN98" s="58" t="s">
        <v>150</v>
      </c>
      <c r="BU98" s="58" t="s">
        <v>70</v>
      </c>
      <c r="BV98" s="58" t="s">
        <v>82</v>
      </c>
      <c r="BW98" s="60">
        <f>$G$32</f>
        <v>0.375</v>
      </c>
      <c r="BX98" s="59" t="s">
        <v>29</v>
      </c>
    </row>
    <row r="99" spans="66:76">
      <c r="BN99" s="58" t="s">
        <v>123</v>
      </c>
      <c r="BO99" s="58" t="s">
        <v>124</v>
      </c>
      <c r="BP99" s="60">
        <f>$M$28*10^-3</f>
        <v>5.9999999999999995E-4</v>
      </c>
      <c r="BQ99" s="58" t="s">
        <v>64</v>
      </c>
      <c r="BU99" s="58" t="s">
        <v>71</v>
      </c>
      <c r="BV99" s="58" t="s">
        <v>83</v>
      </c>
      <c r="BW99" s="58">
        <f>PI()*(BW98/2)^2</f>
        <v>0.11044661672776616</v>
      </c>
      <c r="BX99" s="59" t="s">
        <v>78</v>
      </c>
    </row>
    <row r="100" spans="66:76">
      <c r="BN100" s="58" t="s">
        <v>125</v>
      </c>
      <c r="BO100" s="58" t="s">
        <v>126</v>
      </c>
      <c r="BP100" s="58">
        <f>1.31*10^-6</f>
        <v>1.31E-6</v>
      </c>
      <c r="BQ100" s="58" t="s">
        <v>139</v>
      </c>
      <c r="BU100" s="58" t="s">
        <v>72</v>
      </c>
      <c r="BV100" s="58" t="s">
        <v>84</v>
      </c>
      <c r="BW100" s="61">
        <f>$I$32</f>
        <v>50</v>
      </c>
      <c r="BX100" s="59" t="s">
        <v>29</v>
      </c>
    </row>
    <row r="101" spans="66:76">
      <c r="BN101" s="58" t="s">
        <v>127</v>
      </c>
      <c r="BO101" s="58" t="s">
        <v>128</v>
      </c>
      <c r="BP101" s="58">
        <f>($BW$63*$BW$58/BP100)</f>
        <v>518367.24467589328</v>
      </c>
      <c r="BU101" s="58" t="s">
        <v>73</v>
      </c>
      <c r="BV101" s="58" t="s">
        <v>85</v>
      </c>
      <c r="BW101" s="61">
        <f>$O$32</f>
        <v>1</v>
      </c>
      <c r="BX101" s="59" t="s">
        <v>80</v>
      </c>
    </row>
    <row r="102" spans="66:76">
      <c r="BN102" s="58" t="s">
        <v>129</v>
      </c>
      <c r="BO102" s="58" t="s">
        <v>130</v>
      </c>
      <c r="BP102" s="58">
        <f>(1/(-2*LOG10((BP99/(3.7*$BW$58)))+(5.1286/BP101^0.89)))^2</f>
        <v>2.2090294096760582E-2</v>
      </c>
      <c r="BQ102" s="62"/>
      <c r="BU102" s="58" t="s">
        <v>74</v>
      </c>
      <c r="BV102" s="58" t="s">
        <v>86</v>
      </c>
      <c r="BW102" s="60">
        <f>$K$32</f>
        <v>0.2</v>
      </c>
      <c r="BX102" s="59" t="s">
        <v>79</v>
      </c>
    </row>
    <row r="103" spans="66:76">
      <c r="BN103" s="58" t="s">
        <v>131</v>
      </c>
      <c r="BO103" s="58" t="s">
        <v>132</v>
      </c>
      <c r="BP103" s="58">
        <f>BP102*$BW$63^2/(2*9.81*$BW$58)</f>
        <v>9.8452417510433259E-3</v>
      </c>
      <c r="BQ103" s="58" t="s">
        <v>29</v>
      </c>
      <c r="BU103" s="58" t="s">
        <v>75</v>
      </c>
      <c r="BV103" s="58" t="s">
        <v>87</v>
      </c>
      <c r="BW103" s="58">
        <f>BW102/BW99</f>
        <v>1.8108295747344538</v>
      </c>
      <c r="BX103" s="59" t="s">
        <v>81</v>
      </c>
    </row>
    <row r="104" spans="66:76">
      <c r="BN104" s="58" t="s">
        <v>133</v>
      </c>
      <c r="BO104" s="58" t="s">
        <v>134</v>
      </c>
      <c r="BP104" s="58">
        <f>BP103*$BW$60</f>
        <v>0.49226208755216627</v>
      </c>
      <c r="BQ104" s="58" t="s">
        <v>29</v>
      </c>
      <c r="BU104" s="58" t="s">
        <v>76</v>
      </c>
      <c r="BV104" s="58" t="s">
        <v>88</v>
      </c>
      <c r="BW104" s="63">
        <f>BW95+$T$31</f>
        <v>21.57</v>
      </c>
      <c r="BX104" s="59" t="s">
        <v>29</v>
      </c>
    </row>
    <row r="105" spans="66:76">
      <c r="BN105" s="58" t="s">
        <v>135</v>
      </c>
      <c r="BO105" s="58" t="s">
        <v>136</v>
      </c>
      <c r="BP105" s="58">
        <f>BP96+BP104</f>
        <v>20.071811645920036</v>
      </c>
      <c r="BQ105" s="58" t="s">
        <v>29</v>
      </c>
      <c r="BU105" s="58" t="s">
        <v>77</v>
      </c>
      <c r="BV105" s="58" t="s">
        <v>89</v>
      </c>
      <c r="BW105" s="58">
        <f>BW104+BW100*BW101%</f>
        <v>22.07</v>
      </c>
      <c r="BX105" s="59" t="s">
        <v>29</v>
      </c>
    </row>
    <row r="106" spans="66:76">
      <c r="BN106" s="58" t="s">
        <v>137</v>
      </c>
      <c r="BO106" s="58" t="s">
        <v>138</v>
      </c>
      <c r="BP106" s="58">
        <f>BP105-$BW$63^2/(2*9.81)</f>
        <v>19.904680975750161</v>
      </c>
      <c r="BQ106" s="58" t="s">
        <v>29</v>
      </c>
    </row>
    <row r="108" spans="66:76">
      <c r="BN108" s="58" t="s">
        <v>151</v>
      </c>
    </row>
    <row r="109" spans="66:76">
      <c r="BN109" s="58" t="s">
        <v>113</v>
      </c>
      <c r="BO109" s="58" t="s">
        <v>115</v>
      </c>
      <c r="BP109" s="63">
        <f>$AF$28</f>
        <v>1</v>
      </c>
    </row>
    <row r="110" spans="66:76">
      <c r="BN110" s="58" t="s">
        <v>114</v>
      </c>
      <c r="BO110" s="58" t="s">
        <v>116</v>
      </c>
      <c r="BP110" s="58">
        <f>BP109*($BW$63^2/(2*9.81))</f>
        <v>0.16713067016987576</v>
      </c>
    </row>
    <row r="111" spans="66:76">
      <c r="BN111" s="58" t="s">
        <v>117</v>
      </c>
      <c r="BO111" s="58" t="s">
        <v>118</v>
      </c>
      <c r="BP111" s="58">
        <f>BP106+BP110</f>
        <v>20.071811645920036</v>
      </c>
      <c r="BQ111" s="58" t="s">
        <v>29</v>
      </c>
    </row>
    <row r="112" spans="66:76">
      <c r="BN112" s="58" t="s">
        <v>120</v>
      </c>
      <c r="BO112" s="58" t="s">
        <v>121</v>
      </c>
      <c r="BP112" s="58">
        <f>BP111+(IF($G$29="",$BW$63,$BW$73)^2/(2*9.81))</f>
        <v>20.238942316089911</v>
      </c>
      <c r="BQ112" s="58" t="s">
        <v>29</v>
      </c>
    </row>
    <row r="114" spans="66:69">
      <c r="BN114" s="58" t="s">
        <v>152</v>
      </c>
    </row>
    <row r="115" spans="66:69">
      <c r="BN115" s="58" t="s">
        <v>123</v>
      </c>
      <c r="BO115" s="58" t="s">
        <v>124</v>
      </c>
      <c r="BP115" s="60">
        <f>$M$29*10^-3</f>
        <v>5.9999999999999995E-4</v>
      </c>
      <c r="BQ115" s="58" t="s">
        <v>64</v>
      </c>
    </row>
    <row r="116" spans="66:69">
      <c r="BN116" s="58" t="s">
        <v>125</v>
      </c>
      <c r="BO116" s="58" t="s">
        <v>126</v>
      </c>
      <c r="BP116" s="58">
        <f>1.31*10^-6</f>
        <v>1.31E-6</v>
      </c>
      <c r="BQ116" s="58" t="s">
        <v>139</v>
      </c>
    </row>
    <row r="117" spans="66:69">
      <c r="BN117" s="58" t="s">
        <v>127</v>
      </c>
      <c r="BO117" s="58" t="s">
        <v>128</v>
      </c>
      <c r="BP117" s="58">
        <f>($BW$73*$BW$68/BP116)</f>
        <v>518367.24467589328</v>
      </c>
    </row>
    <row r="118" spans="66:69">
      <c r="BN118" s="58" t="s">
        <v>129</v>
      </c>
      <c r="BO118" s="58" t="s">
        <v>130</v>
      </c>
      <c r="BP118" s="58">
        <f>(1/(-2*LOG10((BP115/(3.7*$BW$68)))+(5.1286/BP117^0.89)))^2</f>
        <v>2.2090294096760582E-2</v>
      </c>
      <c r="BQ118" s="62"/>
    </row>
    <row r="119" spans="66:69">
      <c r="BN119" s="58" t="s">
        <v>131</v>
      </c>
      <c r="BO119" s="58" t="s">
        <v>132</v>
      </c>
      <c r="BP119" s="58">
        <f>BP118*$BW$73^2/(2*9.81*$BW$68)</f>
        <v>9.8452417510433259E-3</v>
      </c>
      <c r="BQ119" s="58" t="s">
        <v>29</v>
      </c>
    </row>
    <row r="120" spans="66:69">
      <c r="BN120" s="58" t="s">
        <v>133</v>
      </c>
      <c r="BO120" s="58" t="s">
        <v>134</v>
      </c>
      <c r="BP120" s="58">
        <f>BP119*$BW$70</f>
        <v>0.49226208755216627</v>
      </c>
      <c r="BQ120" s="58" t="s">
        <v>29</v>
      </c>
    </row>
    <row r="121" spans="66:69">
      <c r="BN121" s="58" t="s">
        <v>135</v>
      </c>
      <c r="BO121" s="58" t="s">
        <v>136</v>
      </c>
      <c r="BP121" s="58">
        <f>BP112+BP120</f>
        <v>20.731204403642078</v>
      </c>
      <c r="BQ121" s="58" t="s">
        <v>29</v>
      </c>
    </row>
    <row r="122" spans="66:69">
      <c r="BN122" s="58" t="s">
        <v>137</v>
      </c>
      <c r="BO122" s="58" t="s">
        <v>138</v>
      </c>
      <c r="BP122" s="58">
        <f>BP121-$BW$73^2/(2*9.81)</f>
        <v>20.564073733472203</v>
      </c>
      <c r="BQ122" s="58" t="s">
        <v>29</v>
      </c>
    </row>
    <row r="124" spans="66:69">
      <c r="BN124" s="58" t="s">
        <v>153</v>
      </c>
    </row>
    <row r="125" spans="66:69">
      <c r="BN125" s="58" t="s">
        <v>113</v>
      </c>
      <c r="BO125" s="58" t="s">
        <v>115</v>
      </c>
      <c r="BP125" s="63">
        <f>$AF$29</f>
        <v>1</v>
      </c>
    </row>
    <row r="126" spans="66:69">
      <c r="BN126" s="58" t="s">
        <v>114</v>
      </c>
      <c r="BO126" s="58" t="s">
        <v>116</v>
      </c>
      <c r="BP126" s="58">
        <f>BP125*($BW$73^2/(2*9.81))</f>
        <v>0.16713067016987576</v>
      </c>
    </row>
    <row r="127" spans="66:69">
      <c r="BN127" s="58" t="s">
        <v>117</v>
      </c>
      <c r="BO127" s="58" t="s">
        <v>118</v>
      </c>
      <c r="BP127" s="58">
        <f>BP122+BP126</f>
        <v>20.731204403642078</v>
      </c>
      <c r="BQ127" s="58" t="s">
        <v>29</v>
      </c>
    </row>
    <row r="128" spans="66:69">
      <c r="BN128" s="58" t="s">
        <v>120</v>
      </c>
      <c r="BO128" s="58" t="s">
        <v>121</v>
      </c>
      <c r="BP128" s="58">
        <f>BP127+(IF($G$30="",$BW$73,$BW$83)^2/(2*9.81))</f>
        <v>20.898335073811953</v>
      </c>
      <c r="BQ128" s="58" t="s">
        <v>29</v>
      </c>
    </row>
    <row r="130" spans="66:69">
      <c r="BN130" s="58" t="s">
        <v>154</v>
      </c>
    </row>
    <row r="131" spans="66:69">
      <c r="BN131" s="58" t="s">
        <v>123</v>
      </c>
      <c r="BO131" s="58" t="s">
        <v>124</v>
      </c>
      <c r="BP131" s="60">
        <f>$M$30*10^-3</f>
        <v>5.9999999999999995E-4</v>
      </c>
      <c r="BQ131" s="58" t="s">
        <v>64</v>
      </c>
    </row>
    <row r="132" spans="66:69">
      <c r="BN132" s="58" t="s">
        <v>125</v>
      </c>
      <c r="BO132" s="58" t="s">
        <v>126</v>
      </c>
      <c r="BP132" s="58">
        <f>1.31*10^-6</f>
        <v>1.31E-6</v>
      </c>
      <c r="BQ132" s="58" t="s">
        <v>139</v>
      </c>
    </row>
    <row r="133" spans="66:69">
      <c r="BN133" s="58" t="s">
        <v>127</v>
      </c>
      <c r="BO133" s="58" t="s">
        <v>128</v>
      </c>
      <c r="BP133" s="58">
        <f>($BW$83*$BW$78/BP132)</f>
        <v>518367.24467589328</v>
      </c>
    </row>
    <row r="134" spans="66:69">
      <c r="BN134" s="58" t="s">
        <v>129</v>
      </c>
      <c r="BO134" s="58" t="s">
        <v>130</v>
      </c>
      <c r="BP134" s="58">
        <f>(1/(-2*LOG10((BP131/(3.7*$BW$78)))+(5.1286/BP133^0.89)))^2</f>
        <v>2.2090294096760582E-2</v>
      </c>
      <c r="BQ134" s="62"/>
    </row>
    <row r="135" spans="66:69">
      <c r="BN135" s="58" t="s">
        <v>131</v>
      </c>
      <c r="BO135" s="58" t="s">
        <v>132</v>
      </c>
      <c r="BP135" s="58">
        <f>BP134*$BW$83^2/(2*9.81*$BW$78)</f>
        <v>9.8452417510433259E-3</v>
      </c>
      <c r="BQ135" s="58" t="s">
        <v>29</v>
      </c>
    </row>
    <row r="136" spans="66:69">
      <c r="BN136" s="58" t="s">
        <v>133</v>
      </c>
      <c r="BO136" s="58" t="s">
        <v>134</v>
      </c>
      <c r="BP136" s="58">
        <f>BP135*$BW$80</f>
        <v>0.49226208755216627</v>
      </c>
      <c r="BQ136" s="58" t="s">
        <v>29</v>
      </c>
    </row>
    <row r="137" spans="66:69">
      <c r="BN137" s="58" t="s">
        <v>135</v>
      </c>
      <c r="BO137" s="58" t="s">
        <v>136</v>
      </c>
      <c r="BP137" s="58">
        <f>BP128+BP136</f>
        <v>21.39059716136412</v>
      </c>
      <c r="BQ137" s="58" t="s">
        <v>29</v>
      </c>
    </row>
    <row r="138" spans="66:69">
      <c r="BN138" s="58" t="s">
        <v>137</v>
      </c>
      <c r="BO138" s="58" t="s">
        <v>138</v>
      </c>
      <c r="BP138" s="58">
        <f>BP137-$BW$83^2/(2*9.81)</f>
        <v>21.223466491194245</v>
      </c>
      <c r="BQ138" s="58" t="s">
        <v>29</v>
      </c>
    </row>
    <row r="140" spans="66:69">
      <c r="BN140" s="58" t="s">
        <v>155</v>
      </c>
    </row>
    <row r="141" spans="66:69">
      <c r="BN141" s="58" t="s">
        <v>113</v>
      </c>
      <c r="BO141" s="58" t="s">
        <v>115</v>
      </c>
      <c r="BP141" s="63">
        <f>$AF$30</f>
        <v>1</v>
      </c>
    </row>
    <row r="142" spans="66:69">
      <c r="BN142" s="58" t="s">
        <v>114</v>
      </c>
      <c r="BO142" s="58" t="s">
        <v>116</v>
      </c>
      <c r="BP142" s="58">
        <f>BP141*($BW$83^2/(2*9.81))</f>
        <v>0.16713067016987576</v>
      </c>
    </row>
    <row r="143" spans="66:69">
      <c r="BN143" s="58" t="s">
        <v>117</v>
      </c>
      <c r="BO143" s="58" t="s">
        <v>118</v>
      </c>
      <c r="BP143" s="58">
        <f>BP138+BP142</f>
        <v>21.39059716136412</v>
      </c>
      <c r="BQ143" s="58" t="s">
        <v>29</v>
      </c>
    </row>
    <row r="144" spans="66:69">
      <c r="BN144" s="58" t="s">
        <v>120</v>
      </c>
      <c r="BO144" s="58" t="s">
        <v>121</v>
      </c>
      <c r="BP144" s="58">
        <f>BP143+(IF($G$31="",$BW$83,$BW$93)^2/(2*9.81))</f>
        <v>21.557727831533995</v>
      </c>
      <c r="BQ144" s="58" t="s">
        <v>29</v>
      </c>
    </row>
    <row r="146" spans="66:69">
      <c r="BN146" s="58" t="s">
        <v>156</v>
      </c>
    </row>
    <row r="147" spans="66:69">
      <c r="BN147" s="58" t="s">
        <v>123</v>
      </c>
      <c r="BO147" s="58" t="s">
        <v>124</v>
      </c>
      <c r="BP147" s="60">
        <f>$M$31*10^-3</f>
        <v>5.9999999999999995E-4</v>
      </c>
      <c r="BQ147" s="58" t="s">
        <v>64</v>
      </c>
    </row>
    <row r="148" spans="66:69">
      <c r="BN148" s="58" t="s">
        <v>125</v>
      </c>
      <c r="BO148" s="58" t="s">
        <v>126</v>
      </c>
      <c r="BP148" s="58">
        <f>1.31*10^-6</f>
        <v>1.31E-6</v>
      </c>
      <c r="BQ148" s="58" t="s">
        <v>139</v>
      </c>
    </row>
    <row r="149" spans="66:69">
      <c r="BN149" s="58" t="s">
        <v>127</v>
      </c>
      <c r="BO149" s="58" t="s">
        <v>128</v>
      </c>
      <c r="BP149" s="58">
        <f>($BW$93*$BW$88/BP148)</f>
        <v>518367.24467589328</v>
      </c>
    </row>
    <row r="150" spans="66:69">
      <c r="BN150" s="58" t="s">
        <v>129</v>
      </c>
      <c r="BO150" s="58" t="s">
        <v>130</v>
      </c>
      <c r="BP150" s="58">
        <f>(1/(-2*LOG10((BP147/(3.7*$BW$88)))+(5.1286/BP149^0.89)))^2</f>
        <v>2.2090294096760582E-2</v>
      </c>
      <c r="BQ150" s="62"/>
    </row>
    <row r="151" spans="66:69">
      <c r="BN151" s="58" t="s">
        <v>131</v>
      </c>
      <c r="BO151" s="58" t="s">
        <v>132</v>
      </c>
      <c r="BP151" s="58">
        <f>BP150*$BW$93^2/(2*9.81*$BW$88)</f>
        <v>9.8452417510433259E-3</v>
      </c>
      <c r="BQ151" s="58" t="s">
        <v>29</v>
      </c>
    </row>
    <row r="152" spans="66:69">
      <c r="BN152" s="58" t="s">
        <v>133</v>
      </c>
      <c r="BO152" s="58" t="s">
        <v>134</v>
      </c>
      <c r="BP152" s="58">
        <f>BP151*$BW$90</f>
        <v>0.49226208755216627</v>
      </c>
      <c r="BQ152" s="58" t="s">
        <v>29</v>
      </c>
    </row>
    <row r="153" spans="66:69">
      <c r="BN153" s="58" t="s">
        <v>135</v>
      </c>
      <c r="BO153" s="58" t="s">
        <v>136</v>
      </c>
      <c r="BP153" s="58">
        <f>BP144+BP152</f>
        <v>22.049989919086162</v>
      </c>
      <c r="BQ153" s="58" t="s">
        <v>29</v>
      </c>
    </row>
    <row r="154" spans="66:69">
      <c r="BN154" s="58" t="s">
        <v>137</v>
      </c>
      <c r="BO154" s="58" t="s">
        <v>138</v>
      </c>
      <c r="BP154" s="58">
        <f>BP153-$BW$93^2/(2*9.81)</f>
        <v>21.882859248916287</v>
      </c>
      <c r="BQ154" s="58" t="s">
        <v>29</v>
      </c>
    </row>
    <row r="156" spans="66:69">
      <c r="BN156" s="58" t="s">
        <v>157</v>
      </c>
    </row>
    <row r="157" spans="66:69">
      <c r="BN157" s="58" t="s">
        <v>113</v>
      </c>
      <c r="BO157" s="58" t="s">
        <v>115</v>
      </c>
      <c r="BP157" s="63">
        <f>$AF$31</f>
        <v>1</v>
      </c>
    </row>
    <row r="158" spans="66:69">
      <c r="BN158" s="58" t="s">
        <v>114</v>
      </c>
      <c r="BO158" s="58" t="s">
        <v>116</v>
      </c>
      <c r="BP158" s="58">
        <f>BP157*($BW$93^2/(2*9.81))</f>
        <v>0.16713067016987576</v>
      </c>
    </row>
    <row r="159" spans="66:69">
      <c r="BN159" s="58" t="s">
        <v>117</v>
      </c>
      <c r="BO159" s="58" t="s">
        <v>118</v>
      </c>
      <c r="BP159" s="58">
        <f>BP154+BP158</f>
        <v>22.049989919086162</v>
      </c>
      <c r="BQ159" s="58" t="s">
        <v>29</v>
      </c>
    </row>
    <row r="160" spans="66:69">
      <c r="BN160" s="58" t="s">
        <v>120</v>
      </c>
      <c r="BO160" s="58" t="s">
        <v>121</v>
      </c>
      <c r="BP160" s="58">
        <f>BP159+(IF($G$32="",$BW$93,$BW$103)^2/(2*9.81))</f>
        <v>22.217120589256037</v>
      </c>
      <c r="BQ160" s="58" t="s">
        <v>29</v>
      </c>
    </row>
    <row r="162" spans="66:69">
      <c r="BN162" s="58" t="s">
        <v>158</v>
      </c>
    </row>
    <row r="163" spans="66:69">
      <c r="BN163" s="58" t="s">
        <v>123</v>
      </c>
      <c r="BO163" s="58" t="s">
        <v>124</v>
      </c>
      <c r="BP163" s="60">
        <f>$M$32*10^-3</f>
        <v>5.9999999999999995E-4</v>
      </c>
      <c r="BQ163" s="58" t="s">
        <v>64</v>
      </c>
    </row>
    <row r="164" spans="66:69">
      <c r="BN164" s="58" t="s">
        <v>125</v>
      </c>
      <c r="BO164" s="58" t="s">
        <v>126</v>
      </c>
      <c r="BP164" s="58">
        <f>1.31*10^-6</f>
        <v>1.31E-6</v>
      </c>
      <c r="BQ164" s="58" t="s">
        <v>139</v>
      </c>
    </row>
    <row r="165" spans="66:69">
      <c r="BN165" s="58" t="s">
        <v>127</v>
      </c>
      <c r="BO165" s="58" t="s">
        <v>128</v>
      </c>
      <c r="BP165" s="58">
        <f>($BW$103*$BW$98/BP164)</f>
        <v>518367.24467589328</v>
      </c>
    </row>
    <row r="166" spans="66:69">
      <c r="BN166" s="58" t="s">
        <v>129</v>
      </c>
      <c r="BO166" s="58" t="s">
        <v>130</v>
      </c>
      <c r="BP166" s="58">
        <f>(1/(-2*LOG10((BP163/(3.7*$BW$98)))+(5.1286/BP165^0.89)))^2</f>
        <v>2.2090294096760582E-2</v>
      </c>
      <c r="BQ166" s="62"/>
    </row>
    <row r="167" spans="66:69">
      <c r="BN167" s="58" t="s">
        <v>131</v>
      </c>
      <c r="BO167" s="58" t="s">
        <v>132</v>
      </c>
      <c r="BP167" s="58">
        <f>BP166*$BW$103^2/(2*9.81*$BW$98)</f>
        <v>9.8452417510433259E-3</v>
      </c>
      <c r="BQ167" s="58" t="s">
        <v>29</v>
      </c>
    </row>
    <row r="168" spans="66:69">
      <c r="BN168" s="58" t="s">
        <v>133</v>
      </c>
      <c r="BO168" s="58" t="s">
        <v>134</v>
      </c>
      <c r="BP168" s="58">
        <f>BP167*$BW$100</f>
        <v>0.49226208755216627</v>
      </c>
      <c r="BQ168" s="58" t="s">
        <v>29</v>
      </c>
    </row>
    <row r="169" spans="66:69">
      <c r="BN169" s="58" t="s">
        <v>135</v>
      </c>
      <c r="BO169" s="58" t="s">
        <v>136</v>
      </c>
      <c r="BP169" s="58">
        <f>BP160+BP168</f>
        <v>22.709382676808204</v>
      </c>
      <c r="BQ169" s="58" t="s">
        <v>29</v>
      </c>
    </row>
    <row r="170" spans="66:69">
      <c r="BN170" s="58" t="s">
        <v>137</v>
      </c>
      <c r="BO170" s="58" t="s">
        <v>138</v>
      </c>
      <c r="BP170" s="58">
        <f>BP169-$BW$103^2/(2*9.81)</f>
        <v>22.542252006638329</v>
      </c>
      <c r="BQ170" s="58" t="s">
        <v>29</v>
      </c>
    </row>
    <row r="172" spans="66:69">
      <c r="BN172" s="58" t="s">
        <v>159</v>
      </c>
    </row>
    <row r="173" spans="66:69">
      <c r="BN173" s="58" t="s">
        <v>113</v>
      </c>
      <c r="BO173" s="58" t="s">
        <v>115</v>
      </c>
      <c r="BP173" s="63">
        <f>$AF$32</f>
        <v>1</v>
      </c>
    </row>
    <row r="174" spans="66:69">
      <c r="BN174" s="58" t="s">
        <v>114</v>
      </c>
      <c r="BO174" s="58" t="s">
        <v>116</v>
      </c>
      <c r="BP174" s="58">
        <f>BP173*($BW$103^2/(2*9.81))</f>
        <v>0.16713067016987576</v>
      </c>
    </row>
    <row r="175" spans="66:69">
      <c r="BN175" s="58" t="s">
        <v>117</v>
      </c>
      <c r="BO175" s="58" t="s">
        <v>118</v>
      </c>
      <c r="BP175" s="58">
        <f>BP170+BP174</f>
        <v>22.709382676808204</v>
      </c>
      <c r="BQ175" s="58" t="s">
        <v>29</v>
      </c>
    </row>
    <row r="176" spans="66:69">
      <c r="BN176" s="58" t="s">
        <v>120</v>
      </c>
      <c r="BO176" s="58" t="s">
        <v>121</v>
      </c>
      <c r="BP176" s="58">
        <f>BP175+($BW$103^2/(2*9.81))</f>
        <v>22.876513346978079</v>
      </c>
      <c r="BQ176" s="58" t="s">
        <v>29</v>
      </c>
    </row>
  </sheetData>
  <sheetProtection algorithmName="SHA-512" hashValue="dBynerE0Ob67yDuJzMO2J5ekgkN/TkfeNicQTqcO7u5RO+EfAgAepI3u73iCbD+1alP6qlsnKyNc+kg5vglMAw==" saltValue="Xre8q+ZvSc8tOKYucfUUng==" spinCount="100000" sheet="1" selectLockedCells="1"/>
  <mergeCells count="315">
    <mergeCell ref="W10:X10"/>
    <mergeCell ref="Y10:AA10"/>
    <mergeCell ref="AB10:AD10"/>
    <mergeCell ref="W11:X11"/>
    <mergeCell ref="Y11:AA11"/>
    <mergeCell ref="AB11:AD11"/>
    <mergeCell ref="AF1:AJ1"/>
    <mergeCell ref="B1:F1"/>
    <mergeCell ref="G1:AE1"/>
    <mergeCell ref="AB9:AD9"/>
    <mergeCell ref="Y9:AA9"/>
    <mergeCell ref="W9:X9"/>
    <mergeCell ref="B2:F5"/>
    <mergeCell ref="G2:L2"/>
    <mergeCell ref="M2:AE2"/>
    <mergeCell ref="AF2:AJ2"/>
    <mergeCell ref="G3:L3"/>
    <mergeCell ref="M3:AE3"/>
    <mergeCell ref="AF3:AJ3"/>
    <mergeCell ref="G4:AE4"/>
    <mergeCell ref="AF4:AJ4"/>
    <mergeCell ref="G5:L5"/>
    <mergeCell ref="M5:S5"/>
    <mergeCell ref="T5:Y5"/>
    <mergeCell ref="H9:V9"/>
    <mergeCell ref="Z5:AE5"/>
    <mergeCell ref="AF5:AJ5"/>
    <mergeCell ref="W12:X12"/>
    <mergeCell ref="Y12:AA12"/>
    <mergeCell ref="AB12:AD12"/>
    <mergeCell ref="E23:F23"/>
    <mergeCell ref="E24:F24"/>
    <mergeCell ref="I21:J22"/>
    <mergeCell ref="I23:J23"/>
    <mergeCell ref="I24:J24"/>
    <mergeCell ref="M21:N22"/>
    <mergeCell ref="M23:N23"/>
    <mergeCell ref="M24:N24"/>
    <mergeCell ref="Q23:S23"/>
    <mergeCell ref="Q21:S22"/>
    <mergeCell ref="O21:P22"/>
    <mergeCell ref="O23:P23"/>
    <mergeCell ref="O24:P24"/>
    <mergeCell ref="AB19:AD19"/>
    <mergeCell ref="W16:AD16"/>
    <mergeCell ref="H17:V17"/>
    <mergeCell ref="W17:X17"/>
    <mergeCell ref="Y17:AA17"/>
    <mergeCell ref="AB17:AD17"/>
    <mergeCell ref="H18:V18"/>
    <mergeCell ref="W18:X18"/>
    <mergeCell ref="E30:F30"/>
    <mergeCell ref="E31:F31"/>
    <mergeCell ref="E32:F32"/>
    <mergeCell ref="G21:H22"/>
    <mergeCell ref="G23:H23"/>
    <mergeCell ref="G24:H24"/>
    <mergeCell ref="G25:H25"/>
    <mergeCell ref="G26:H26"/>
    <mergeCell ref="G27:H27"/>
    <mergeCell ref="G28:H28"/>
    <mergeCell ref="G29:H29"/>
    <mergeCell ref="G30:H30"/>
    <mergeCell ref="G31:H31"/>
    <mergeCell ref="G32:H32"/>
    <mergeCell ref="E21:F22"/>
    <mergeCell ref="E25:F25"/>
    <mergeCell ref="E26:F26"/>
    <mergeCell ref="E27:F27"/>
    <mergeCell ref="E28:F28"/>
    <mergeCell ref="E29:F29"/>
    <mergeCell ref="K21:L22"/>
    <mergeCell ref="K23:L23"/>
    <mergeCell ref="K24:L24"/>
    <mergeCell ref="K25:L25"/>
    <mergeCell ref="K26:L26"/>
    <mergeCell ref="K27:L27"/>
    <mergeCell ref="K28:L28"/>
    <mergeCell ref="K29:L29"/>
    <mergeCell ref="K30:L30"/>
    <mergeCell ref="T31:U31"/>
    <mergeCell ref="M28:N28"/>
    <mergeCell ref="M29:N29"/>
    <mergeCell ref="O25:P25"/>
    <mergeCell ref="O26:P26"/>
    <mergeCell ref="O27:P27"/>
    <mergeCell ref="O28:P28"/>
    <mergeCell ref="O29:P29"/>
    <mergeCell ref="O30:P30"/>
    <mergeCell ref="T32:U32"/>
    <mergeCell ref="Q24:S24"/>
    <mergeCell ref="Q25:S25"/>
    <mergeCell ref="Q26:S26"/>
    <mergeCell ref="Q27:S27"/>
    <mergeCell ref="Q28:S28"/>
    <mergeCell ref="I30:J30"/>
    <mergeCell ref="I31:J31"/>
    <mergeCell ref="I32:J32"/>
    <mergeCell ref="K31:L31"/>
    <mergeCell ref="K32:L32"/>
    <mergeCell ref="I25:J25"/>
    <mergeCell ref="I26:J26"/>
    <mergeCell ref="I27:J27"/>
    <mergeCell ref="I28:J28"/>
    <mergeCell ref="I29:J29"/>
    <mergeCell ref="M30:N30"/>
    <mergeCell ref="M31:N31"/>
    <mergeCell ref="M32:N32"/>
    <mergeCell ref="O31:P31"/>
    <mergeCell ref="O32:P32"/>
    <mergeCell ref="M25:N25"/>
    <mergeCell ref="M26:N26"/>
    <mergeCell ref="M27:N27"/>
    <mergeCell ref="H10:V10"/>
    <mergeCell ref="H11:V11"/>
    <mergeCell ref="H12:V12"/>
    <mergeCell ref="AF31:AG31"/>
    <mergeCell ref="AF32:AG32"/>
    <mergeCell ref="V23:AE23"/>
    <mergeCell ref="V24:AE24"/>
    <mergeCell ref="V25:AE25"/>
    <mergeCell ref="V26:AE26"/>
    <mergeCell ref="AF26:AG26"/>
    <mergeCell ref="AF27:AG27"/>
    <mergeCell ref="AF28:AG28"/>
    <mergeCell ref="AF29:AG29"/>
    <mergeCell ref="AF30:AG30"/>
    <mergeCell ref="AF21:AG22"/>
    <mergeCell ref="AF23:AG23"/>
    <mergeCell ref="AF24:AG24"/>
    <mergeCell ref="AF25:AG25"/>
    <mergeCell ref="V27:AE27"/>
    <mergeCell ref="V28:AE28"/>
    <mergeCell ref="V29:AE29"/>
    <mergeCell ref="V30:AE30"/>
    <mergeCell ref="V31:AE31"/>
    <mergeCell ref="Y19:AA19"/>
    <mergeCell ref="Y18:AA18"/>
    <mergeCell ref="AB18:AD18"/>
    <mergeCell ref="H16:V16"/>
    <mergeCell ref="H45:J45"/>
    <mergeCell ref="H46:J46"/>
    <mergeCell ref="H47:J47"/>
    <mergeCell ref="H48:J48"/>
    <mergeCell ref="H52:J52"/>
    <mergeCell ref="H53:J53"/>
    <mergeCell ref="H42:J42"/>
    <mergeCell ref="H43:J43"/>
    <mergeCell ref="H44:J44"/>
    <mergeCell ref="P40:R40"/>
    <mergeCell ref="P41:R41"/>
    <mergeCell ref="K47:L47"/>
    <mergeCell ref="K48:L48"/>
    <mergeCell ref="M36:O37"/>
    <mergeCell ref="M38:O38"/>
    <mergeCell ref="M39:O39"/>
    <mergeCell ref="M40:O40"/>
    <mergeCell ref="M41:O41"/>
    <mergeCell ref="M42:O42"/>
    <mergeCell ref="M43:O43"/>
    <mergeCell ref="M44:O44"/>
    <mergeCell ref="H54:J54"/>
    <mergeCell ref="H19:V19"/>
    <mergeCell ref="W19:X19"/>
    <mergeCell ref="V32:AE32"/>
    <mergeCell ref="V21:AE22"/>
    <mergeCell ref="Q29:S29"/>
    <mergeCell ref="Q30:S30"/>
    <mergeCell ref="Q31:S31"/>
    <mergeCell ref="Q32:S32"/>
    <mergeCell ref="T21:U22"/>
    <mergeCell ref="T23:U23"/>
    <mergeCell ref="T24:U24"/>
    <mergeCell ref="T25:U25"/>
    <mergeCell ref="T26:U26"/>
    <mergeCell ref="T27:U27"/>
    <mergeCell ref="T28:U28"/>
    <mergeCell ref="T29:U29"/>
    <mergeCell ref="T30:U30"/>
    <mergeCell ref="K40:L40"/>
    <mergeCell ref="K41:L41"/>
    <mergeCell ref="H38:J38"/>
    <mergeCell ref="H39:J39"/>
    <mergeCell ref="H40:J40"/>
    <mergeCell ref="H41:J41"/>
    <mergeCell ref="P44:R44"/>
    <mergeCell ref="P45:R45"/>
    <mergeCell ref="P46:R46"/>
    <mergeCell ref="M45:O45"/>
    <mergeCell ref="M46:O46"/>
    <mergeCell ref="M47:O47"/>
    <mergeCell ref="M48:O48"/>
    <mergeCell ref="K42:L42"/>
    <mergeCell ref="K43:L43"/>
    <mergeCell ref="K44:L44"/>
    <mergeCell ref="K45:L45"/>
    <mergeCell ref="K46:L46"/>
    <mergeCell ref="W52:Y52"/>
    <mergeCell ref="T52:V52"/>
    <mergeCell ref="Z52:AB52"/>
    <mergeCell ref="AF52:AJ52"/>
    <mergeCell ref="K52:M52"/>
    <mergeCell ref="N52:P52"/>
    <mergeCell ref="Q52:S52"/>
    <mergeCell ref="AF48:AJ48"/>
    <mergeCell ref="K36:L37"/>
    <mergeCell ref="K38:L38"/>
    <mergeCell ref="K39:L39"/>
    <mergeCell ref="AF41:AJ41"/>
    <mergeCell ref="AF42:AJ42"/>
    <mergeCell ref="P47:R47"/>
    <mergeCell ref="P48:R48"/>
    <mergeCell ref="S36:U37"/>
    <mergeCell ref="S38:U38"/>
    <mergeCell ref="S39:U39"/>
    <mergeCell ref="S40:U40"/>
    <mergeCell ref="S41:U41"/>
    <mergeCell ref="S42:U42"/>
    <mergeCell ref="S43:U43"/>
    <mergeCell ref="S44:U44"/>
    <mergeCell ref="S45:U45"/>
    <mergeCell ref="H36:J37"/>
    <mergeCell ref="H50:J51"/>
    <mergeCell ref="W50:Y51"/>
    <mergeCell ref="T50:V51"/>
    <mergeCell ref="Z50:AB51"/>
    <mergeCell ref="K50:M51"/>
    <mergeCell ref="N50:P51"/>
    <mergeCell ref="Q50:S51"/>
    <mergeCell ref="AF43:AJ43"/>
    <mergeCell ref="AF44:AJ44"/>
    <mergeCell ref="AF45:AJ45"/>
    <mergeCell ref="AF47:AJ47"/>
    <mergeCell ref="AF46:AJ46"/>
    <mergeCell ref="AF38:AJ38"/>
    <mergeCell ref="AF39:AJ39"/>
    <mergeCell ref="AF40:AJ40"/>
    <mergeCell ref="P36:R37"/>
    <mergeCell ref="P38:R38"/>
    <mergeCell ref="P39:R39"/>
    <mergeCell ref="S46:U46"/>
    <mergeCell ref="S47:U47"/>
    <mergeCell ref="S48:U48"/>
    <mergeCell ref="P42:R42"/>
    <mergeCell ref="P43:R43"/>
    <mergeCell ref="W54:Y54"/>
    <mergeCell ref="T54:V54"/>
    <mergeCell ref="Z54:AB54"/>
    <mergeCell ref="AF54:AJ54"/>
    <mergeCell ref="K54:M54"/>
    <mergeCell ref="N54:P54"/>
    <mergeCell ref="Q54:S54"/>
    <mergeCell ref="W53:Y53"/>
    <mergeCell ref="T53:V53"/>
    <mergeCell ref="Z53:AB53"/>
    <mergeCell ref="AF53:AJ53"/>
    <mergeCell ref="K53:M53"/>
    <mergeCell ref="N53:P53"/>
    <mergeCell ref="Q53:S53"/>
    <mergeCell ref="AF55:AJ55"/>
    <mergeCell ref="H56:J56"/>
    <mergeCell ref="W56:Y56"/>
    <mergeCell ref="T56:V56"/>
    <mergeCell ref="Z56:AB56"/>
    <mergeCell ref="AF56:AJ56"/>
    <mergeCell ref="K55:M55"/>
    <mergeCell ref="K56:M56"/>
    <mergeCell ref="N55:P55"/>
    <mergeCell ref="N56:P56"/>
    <mergeCell ref="Q55:S55"/>
    <mergeCell ref="Q56:S56"/>
    <mergeCell ref="H55:J55"/>
    <mergeCell ref="W55:Y55"/>
    <mergeCell ref="T55:V55"/>
    <mergeCell ref="Z55:AB55"/>
    <mergeCell ref="AF57:AJ57"/>
    <mergeCell ref="H58:J58"/>
    <mergeCell ref="W58:Y58"/>
    <mergeCell ref="T58:V58"/>
    <mergeCell ref="Z58:AB58"/>
    <mergeCell ref="AF58:AJ58"/>
    <mergeCell ref="K57:M57"/>
    <mergeCell ref="K58:M58"/>
    <mergeCell ref="N57:P57"/>
    <mergeCell ref="N58:P58"/>
    <mergeCell ref="Q57:S57"/>
    <mergeCell ref="Q58:S58"/>
    <mergeCell ref="H57:J57"/>
    <mergeCell ref="W57:Y57"/>
    <mergeCell ref="T57:V57"/>
    <mergeCell ref="Z57:AB57"/>
    <mergeCell ref="AF61:AJ61"/>
    <mergeCell ref="K61:M61"/>
    <mergeCell ref="N61:P61"/>
    <mergeCell ref="Q61:S61"/>
    <mergeCell ref="H61:J61"/>
    <mergeCell ref="W61:Y61"/>
    <mergeCell ref="T61:V61"/>
    <mergeCell ref="Z61:AB61"/>
    <mergeCell ref="AF59:AJ59"/>
    <mergeCell ref="H60:J60"/>
    <mergeCell ref="W60:Y60"/>
    <mergeCell ref="T60:V60"/>
    <mergeCell ref="Z60:AB60"/>
    <mergeCell ref="AF60:AJ60"/>
    <mergeCell ref="K59:M59"/>
    <mergeCell ref="K60:M60"/>
    <mergeCell ref="N59:P59"/>
    <mergeCell ref="N60:P60"/>
    <mergeCell ref="Q59:S59"/>
    <mergeCell ref="Q60:S60"/>
    <mergeCell ref="H59:J59"/>
    <mergeCell ref="W59:Y59"/>
    <mergeCell ref="T59:V59"/>
    <mergeCell ref="Z59:AB59"/>
  </mergeCells>
  <conditionalFormatting sqref="AF38:AJ48 AF52:AJ61">
    <cfRule type="cellIs" dxfId="5" priority="25" operator="equal">
      <formula>"HGL Too High"</formula>
    </cfRule>
    <cfRule type="expression" dxfId="4" priority="26">
      <formula>#REF!="Too Small"</formula>
    </cfRule>
  </conditionalFormatting>
  <dataValidations count="2">
    <dataValidation type="list" allowBlank="1" showInputMessage="1" showErrorMessage="1" sqref="V23:AD32" xr:uid="{617222C7-CD20-4292-96D2-A1D55FE1A55F}">
      <formula1>$AL$3:$AL$16</formula1>
    </dataValidation>
    <dataValidation type="list" allowBlank="1" showInputMessage="1" showErrorMessage="1" sqref="W16" xr:uid="{554DE850-244D-49C2-AB19-532B80D57360}">
      <formula1>$AL$23:$AL$26</formula1>
    </dataValidation>
  </dataValidations>
  <pageMargins left="0.7" right="0.7" top="0.75" bottom="0.75" header="0.3" footer="0.3"/>
  <pageSetup paperSize="9" scale="67" orientation="portrait" r:id="rId1"/>
  <headerFooter>
    <oddHeader>&amp;C&amp;"-,Bold"&amp;UColebrook-White Calculation</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7239-DD53-4ECD-97BE-844750327040}">
  <dimension ref="A1:BG176"/>
  <sheetViews>
    <sheetView view="pageBreakPreview" topLeftCell="A7" zoomScaleNormal="55" zoomScaleSheetLayoutView="100" workbookViewId="0">
      <selection activeCell="AH25" sqref="AH25"/>
    </sheetView>
  </sheetViews>
  <sheetFormatPr defaultColWidth="9.109375" defaultRowHeight="14.4"/>
  <cols>
    <col min="1" max="1" width="1" style="58" customWidth="1"/>
    <col min="2" max="36" width="2.44140625" style="58" customWidth="1"/>
    <col min="37" max="37" width="9.109375" style="58" customWidth="1"/>
    <col min="38" max="38" width="43.5546875" style="58" bestFit="1" customWidth="1"/>
    <col min="39" max="39" width="5.5546875" style="58" bestFit="1" customWidth="1"/>
    <col min="40" max="40" width="9.109375" style="58" customWidth="1"/>
    <col min="41" max="48" width="9.109375" style="58" hidden="1" customWidth="1"/>
    <col min="49" max="49" width="21.44140625" style="58" hidden="1" customWidth="1"/>
    <col min="50" max="55" width="9.109375" style="58" hidden="1" customWidth="1"/>
    <col min="56" max="56" width="17.5546875" style="58" hidden="1" customWidth="1"/>
    <col min="57" max="58" width="9.109375" style="58" hidden="1" customWidth="1"/>
    <col min="59" max="59" width="0" style="59" hidden="1" customWidth="1"/>
    <col min="60" max="16384" width="9.109375" style="59"/>
  </cols>
  <sheetData>
    <row r="1" spans="2:59" ht="15" thickBot="1">
      <c r="B1" s="142" t="s">
        <v>7</v>
      </c>
      <c r="C1" s="143"/>
      <c r="D1" s="143"/>
      <c r="E1" s="143"/>
      <c r="F1" s="143"/>
      <c r="G1" s="144" t="s">
        <v>237</v>
      </c>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2" t="s">
        <v>23</v>
      </c>
      <c r="AG1" s="143"/>
      <c r="AH1" s="143"/>
      <c r="AI1" s="143"/>
      <c r="AJ1" s="143"/>
    </row>
    <row r="2" spans="2:59">
      <c r="B2" s="202" t="s">
        <v>0</v>
      </c>
      <c r="C2" s="203"/>
      <c r="D2" s="203"/>
      <c r="E2" s="203"/>
      <c r="F2" s="204"/>
      <c r="G2" s="211" t="s">
        <v>1</v>
      </c>
      <c r="H2" s="212"/>
      <c r="I2" s="212"/>
      <c r="J2" s="212"/>
      <c r="K2" s="212"/>
      <c r="L2" s="212"/>
      <c r="M2" s="213"/>
      <c r="N2" s="214"/>
      <c r="O2" s="214"/>
      <c r="P2" s="214"/>
      <c r="Q2" s="214"/>
      <c r="R2" s="214"/>
      <c r="S2" s="214"/>
      <c r="T2" s="214"/>
      <c r="U2" s="214"/>
      <c r="V2" s="214"/>
      <c r="W2" s="214"/>
      <c r="X2" s="214"/>
      <c r="Y2" s="214"/>
      <c r="Z2" s="214"/>
      <c r="AA2" s="214"/>
      <c r="AB2" s="214"/>
      <c r="AC2" s="214"/>
      <c r="AD2" s="214"/>
      <c r="AE2" s="215"/>
      <c r="AF2" s="216" t="s">
        <v>2</v>
      </c>
      <c r="AG2" s="212"/>
      <c r="AH2" s="212"/>
      <c r="AI2" s="212"/>
      <c r="AJ2" s="217"/>
      <c r="AL2" s="58" t="s">
        <v>167</v>
      </c>
      <c r="AM2" s="58" t="s">
        <v>168</v>
      </c>
      <c r="AW2" s="58" t="s">
        <v>103</v>
      </c>
    </row>
    <row r="3" spans="2:59">
      <c r="B3" s="205"/>
      <c r="C3" s="206"/>
      <c r="D3" s="206"/>
      <c r="E3" s="206"/>
      <c r="F3" s="207"/>
      <c r="G3" s="157" t="s">
        <v>3</v>
      </c>
      <c r="H3" s="158"/>
      <c r="I3" s="158"/>
      <c r="J3" s="158"/>
      <c r="K3" s="158"/>
      <c r="L3" s="159"/>
      <c r="M3" s="160" t="s">
        <v>22</v>
      </c>
      <c r="N3" s="161"/>
      <c r="O3" s="161"/>
      <c r="P3" s="161"/>
      <c r="Q3" s="161"/>
      <c r="R3" s="161"/>
      <c r="S3" s="161"/>
      <c r="T3" s="161"/>
      <c r="U3" s="161"/>
      <c r="V3" s="161"/>
      <c r="W3" s="161"/>
      <c r="X3" s="161"/>
      <c r="Y3" s="161"/>
      <c r="Z3" s="161"/>
      <c r="AA3" s="161"/>
      <c r="AB3" s="161"/>
      <c r="AC3" s="161"/>
      <c r="AD3" s="161"/>
      <c r="AE3" s="162"/>
      <c r="AF3" s="173"/>
      <c r="AG3" s="158"/>
      <c r="AH3" s="158"/>
      <c r="AI3" s="158"/>
      <c r="AJ3" s="174"/>
      <c r="AL3" s="58" t="s">
        <v>233</v>
      </c>
      <c r="AM3" s="58">
        <v>0.5</v>
      </c>
      <c r="AW3" s="58" t="s">
        <v>99</v>
      </c>
      <c r="AX3" s="58" t="s">
        <v>27</v>
      </c>
      <c r="AY3" s="58">
        <f>Y9</f>
        <v>12.95</v>
      </c>
      <c r="AZ3" s="58" t="s">
        <v>29</v>
      </c>
    </row>
    <row r="4" spans="2:59">
      <c r="B4" s="205"/>
      <c r="C4" s="206"/>
      <c r="D4" s="206"/>
      <c r="E4" s="206"/>
      <c r="F4" s="207"/>
      <c r="G4" s="175" t="s">
        <v>234</v>
      </c>
      <c r="H4" s="176"/>
      <c r="I4" s="176"/>
      <c r="J4" s="176"/>
      <c r="K4" s="176"/>
      <c r="L4" s="176"/>
      <c r="M4" s="176"/>
      <c r="N4" s="176"/>
      <c r="O4" s="176"/>
      <c r="P4" s="176"/>
      <c r="Q4" s="176"/>
      <c r="R4" s="176"/>
      <c r="S4" s="176"/>
      <c r="T4" s="176"/>
      <c r="U4" s="176"/>
      <c r="V4" s="176"/>
      <c r="W4" s="176"/>
      <c r="X4" s="176"/>
      <c r="Y4" s="176"/>
      <c r="Z4" s="176"/>
      <c r="AA4" s="176"/>
      <c r="AB4" s="176"/>
      <c r="AC4" s="176"/>
      <c r="AD4" s="176"/>
      <c r="AE4" s="177"/>
      <c r="AF4" s="157" t="s">
        <v>4</v>
      </c>
      <c r="AG4" s="178"/>
      <c r="AH4" s="178"/>
      <c r="AI4" s="178"/>
      <c r="AJ4" s="179"/>
      <c r="AL4" s="58" t="s">
        <v>232</v>
      </c>
      <c r="AM4" s="58">
        <v>0.8</v>
      </c>
      <c r="AW4" s="58" t="s">
        <v>100</v>
      </c>
      <c r="AX4" s="58" t="s">
        <v>104</v>
      </c>
      <c r="AY4" s="58">
        <f>Y10</f>
        <v>20</v>
      </c>
      <c r="AZ4" s="58" t="s">
        <v>29</v>
      </c>
    </row>
    <row r="5" spans="2:59" ht="15" thickBot="1">
      <c r="B5" s="208"/>
      <c r="C5" s="209"/>
      <c r="D5" s="209"/>
      <c r="E5" s="209"/>
      <c r="F5" s="210"/>
      <c r="G5" s="180" t="s">
        <v>5</v>
      </c>
      <c r="H5" s="181"/>
      <c r="I5" s="181"/>
      <c r="J5" s="181"/>
      <c r="K5" s="181"/>
      <c r="L5" s="182"/>
      <c r="M5" s="183">
        <v>1</v>
      </c>
      <c r="N5" s="184"/>
      <c r="O5" s="184"/>
      <c r="P5" s="184"/>
      <c r="Q5" s="184"/>
      <c r="R5" s="184"/>
      <c r="S5" s="185"/>
      <c r="T5" s="186" t="s">
        <v>6</v>
      </c>
      <c r="U5" s="180"/>
      <c r="V5" s="180"/>
      <c r="W5" s="180"/>
      <c r="X5" s="180"/>
      <c r="Y5" s="187"/>
      <c r="Z5" s="245"/>
      <c r="AA5" s="184"/>
      <c r="AB5" s="184"/>
      <c r="AC5" s="184"/>
      <c r="AD5" s="184"/>
      <c r="AE5" s="246"/>
      <c r="AF5" s="247"/>
      <c r="AG5" s="184"/>
      <c r="AH5" s="184"/>
      <c r="AI5" s="184"/>
      <c r="AJ5" s="248"/>
      <c r="AL5" s="58" t="s">
        <v>231</v>
      </c>
      <c r="AM5" s="58">
        <v>0.25</v>
      </c>
      <c r="AW5" s="58" t="s">
        <v>101</v>
      </c>
      <c r="AX5" s="58" t="s">
        <v>105</v>
      </c>
      <c r="AY5" s="58">
        <f>Y11</f>
        <v>0.15</v>
      </c>
      <c r="AZ5" s="58" t="s">
        <v>29</v>
      </c>
    </row>
    <row r="6" spans="2:59">
      <c r="B6" s="3"/>
      <c r="C6" s="4"/>
      <c r="D6" s="4"/>
      <c r="E6" s="4"/>
      <c r="F6" s="5"/>
      <c r="G6" s="6"/>
      <c r="H6" s="7"/>
      <c r="I6" s="7"/>
      <c r="J6" s="7"/>
      <c r="K6" s="7"/>
      <c r="L6" s="7"/>
      <c r="M6" s="7"/>
      <c r="N6" s="7"/>
      <c r="O6" s="7"/>
      <c r="P6" s="7"/>
      <c r="Q6" s="7"/>
      <c r="R6" s="7"/>
      <c r="S6" s="7"/>
      <c r="T6" s="7"/>
      <c r="U6" s="7"/>
      <c r="V6" s="7"/>
      <c r="W6" s="7"/>
      <c r="X6" s="4"/>
      <c r="Y6" s="4"/>
      <c r="Z6" s="4"/>
      <c r="AA6" s="4"/>
      <c r="AB6" s="4"/>
      <c r="AC6" s="4"/>
      <c r="AD6" s="4"/>
      <c r="AE6" s="8"/>
      <c r="AF6" s="9"/>
      <c r="AG6" s="4"/>
      <c r="AH6" s="4"/>
      <c r="AI6" s="4"/>
      <c r="AJ6" s="10"/>
      <c r="AL6" s="58" t="s">
        <v>230</v>
      </c>
      <c r="AM6" s="58">
        <v>0.05</v>
      </c>
      <c r="AW6" s="58" t="s">
        <v>102</v>
      </c>
      <c r="AX6" s="58" t="s">
        <v>106</v>
      </c>
      <c r="AY6" s="58">
        <f>Y12</f>
        <v>0</v>
      </c>
      <c r="AZ6" s="58" t="s">
        <v>81</v>
      </c>
    </row>
    <row r="7" spans="2:59">
      <c r="B7" s="11"/>
      <c r="C7" s="12"/>
      <c r="D7" s="12"/>
      <c r="E7" s="12"/>
      <c r="F7" s="13"/>
      <c r="G7" s="14"/>
      <c r="H7" s="15" t="s">
        <v>24</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c r="AL7" s="58" t="s">
        <v>218</v>
      </c>
      <c r="AM7" s="58">
        <v>2.5</v>
      </c>
      <c r="BD7" s="58" t="s">
        <v>69</v>
      </c>
    </row>
    <row r="8" spans="2:59" ht="15" thickBot="1">
      <c r="B8" s="11"/>
      <c r="C8" s="12"/>
      <c r="D8" s="12"/>
      <c r="E8" s="12"/>
      <c r="F8" s="13"/>
      <c r="G8" s="14"/>
      <c r="H8" s="19"/>
      <c r="I8" s="19"/>
      <c r="J8" s="19"/>
      <c r="K8" s="19"/>
      <c r="L8" s="19"/>
      <c r="M8" s="19"/>
      <c r="N8" s="19"/>
      <c r="O8" s="19"/>
      <c r="P8" s="19"/>
      <c r="Q8" s="19"/>
      <c r="R8" s="19"/>
      <c r="S8" s="19"/>
      <c r="T8" s="19"/>
      <c r="U8" s="19"/>
      <c r="V8" s="19"/>
      <c r="W8" s="19"/>
      <c r="X8" s="19"/>
      <c r="Y8" s="19"/>
      <c r="Z8" s="19"/>
      <c r="AA8" s="19"/>
      <c r="AB8" s="19"/>
      <c r="AC8" s="19"/>
      <c r="AD8" s="19"/>
      <c r="AE8" s="16"/>
      <c r="AF8" s="17"/>
      <c r="AG8" s="12"/>
      <c r="AH8" s="12"/>
      <c r="AI8" s="12"/>
      <c r="AJ8" s="18"/>
      <c r="AL8" s="58" t="s">
        <v>229</v>
      </c>
      <c r="AM8" s="58">
        <v>0.2</v>
      </c>
      <c r="AW8" s="58" t="s">
        <v>111</v>
      </c>
      <c r="BD8" s="58" t="s">
        <v>70</v>
      </c>
      <c r="BE8" s="58" t="s">
        <v>82</v>
      </c>
      <c r="BF8" s="60">
        <f>$G$23</f>
        <v>0.6</v>
      </c>
      <c r="BG8" s="59" t="s">
        <v>29</v>
      </c>
    </row>
    <row r="9" spans="2:59" ht="15.6">
      <c r="B9" s="11"/>
      <c r="C9" s="12"/>
      <c r="D9" s="12"/>
      <c r="E9" s="12"/>
      <c r="F9" s="13"/>
      <c r="G9" s="14"/>
      <c r="H9" s="242" t="s">
        <v>26</v>
      </c>
      <c r="I9" s="243"/>
      <c r="J9" s="243"/>
      <c r="K9" s="243"/>
      <c r="L9" s="243"/>
      <c r="M9" s="243"/>
      <c r="N9" s="243"/>
      <c r="O9" s="243"/>
      <c r="P9" s="243"/>
      <c r="Q9" s="243"/>
      <c r="R9" s="243"/>
      <c r="S9" s="243"/>
      <c r="T9" s="243"/>
      <c r="U9" s="243"/>
      <c r="V9" s="244"/>
      <c r="W9" s="200" t="s">
        <v>28</v>
      </c>
      <c r="X9" s="201"/>
      <c r="Y9" s="251">
        <v>12.95</v>
      </c>
      <c r="Z9" s="252"/>
      <c r="AA9" s="253"/>
      <c r="AB9" s="254" t="s">
        <v>29</v>
      </c>
      <c r="AC9" s="243"/>
      <c r="AD9" s="255"/>
      <c r="AE9" s="14"/>
      <c r="AF9" s="17"/>
      <c r="AG9" s="12"/>
      <c r="AH9" s="12"/>
      <c r="AI9" s="12"/>
      <c r="AJ9" s="18"/>
      <c r="AL9" s="58" t="s">
        <v>228</v>
      </c>
      <c r="AM9" s="58">
        <v>0.4</v>
      </c>
      <c r="AW9" s="58" t="s">
        <v>107</v>
      </c>
      <c r="AX9" s="58" t="s">
        <v>108</v>
      </c>
      <c r="AY9" s="58">
        <f>AY3</f>
        <v>12.95</v>
      </c>
      <c r="AZ9" s="58" t="s">
        <v>29</v>
      </c>
      <c r="BD9" s="58" t="s">
        <v>71</v>
      </c>
      <c r="BE9" s="58" t="s">
        <v>83</v>
      </c>
      <c r="BF9" s="58">
        <f>PI()*(BF8/2)^2</f>
        <v>0.28274333882308139</v>
      </c>
      <c r="BG9" s="59" t="s">
        <v>78</v>
      </c>
    </row>
    <row r="10" spans="2:59" ht="15.6">
      <c r="B10" s="11"/>
      <c r="C10" s="12"/>
      <c r="D10" s="12"/>
      <c r="E10" s="12"/>
      <c r="F10" s="13"/>
      <c r="G10" s="14"/>
      <c r="H10" s="163" t="s">
        <v>30</v>
      </c>
      <c r="I10" s="146"/>
      <c r="J10" s="146"/>
      <c r="K10" s="146"/>
      <c r="L10" s="146"/>
      <c r="M10" s="146"/>
      <c r="N10" s="146"/>
      <c r="O10" s="146"/>
      <c r="P10" s="146"/>
      <c r="Q10" s="146"/>
      <c r="R10" s="146"/>
      <c r="S10" s="146"/>
      <c r="T10" s="146"/>
      <c r="U10" s="146"/>
      <c r="V10" s="164"/>
      <c r="W10" s="218" t="s">
        <v>31</v>
      </c>
      <c r="X10" s="219"/>
      <c r="Y10" s="154">
        <v>20</v>
      </c>
      <c r="Z10" s="155"/>
      <c r="AA10" s="156"/>
      <c r="AB10" s="145" t="s">
        <v>29</v>
      </c>
      <c r="AC10" s="146"/>
      <c r="AD10" s="147"/>
      <c r="AE10" s="14"/>
      <c r="AF10" s="17"/>
      <c r="AG10" s="12"/>
      <c r="AH10" s="12"/>
      <c r="AI10" s="12"/>
      <c r="AJ10" s="18"/>
      <c r="AL10" s="58" t="s">
        <v>214</v>
      </c>
      <c r="AM10" s="58">
        <v>1</v>
      </c>
      <c r="AW10" s="58" t="s">
        <v>109</v>
      </c>
      <c r="AX10" s="58" t="s">
        <v>110</v>
      </c>
      <c r="AY10" s="58">
        <f>AY9+(AY6^2/(2*9.81))</f>
        <v>12.95</v>
      </c>
      <c r="AZ10" s="58" t="s">
        <v>29</v>
      </c>
      <c r="BD10" s="58" t="s">
        <v>72</v>
      </c>
      <c r="BE10" s="58" t="s">
        <v>84</v>
      </c>
      <c r="BF10" s="61">
        <f>$I$23</f>
        <v>87</v>
      </c>
      <c r="BG10" s="59" t="s">
        <v>29</v>
      </c>
    </row>
    <row r="11" spans="2:59" ht="15.6">
      <c r="B11" s="11"/>
      <c r="C11" s="12"/>
      <c r="D11" s="12"/>
      <c r="E11" s="12"/>
      <c r="F11" s="13"/>
      <c r="G11" s="14"/>
      <c r="H11" s="163" t="s">
        <v>33</v>
      </c>
      <c r="I11" s="146"/>
      <c r="J11" s="146"/>
      <c r="K11" s="146"/>
      <c r="L11" s="146"/>
      <c r="M11" s="146"/>
      <c r="N11" s="146"/>
      <c r="O11" s="146"/>
      <c r="P11" s="146"/>
      <c r="Q11" s="146"/>
      <c r="R11" s="146"/>
      <c r="S11" s="146"/>
      <c r="T11" s="146"/>
      <c r="U11" s="146"/>
      <c r="V11" s="164"/>
      <c r="W11" s="218" t="s">
        <v>32</v>
      </c>
      <c r="X11" s="219"/>
      <c r="Y11" s="154">
        <v>0.15</v>
      </c>
      <c r="Z11" s="155"/>
      <c r="AA11" s="156"/>
      <c r="AB11" s="145" t="s">
        <v>29</v>
      </c>
      <c r="AC11" s="146"/>
      <c r="AD11" s="147"/>
      <c r="AE11" s="14"/>
      <c r="AF11" s="17"/>
      <c r="AG11" s="12"/>
      <c r="AH11" s="12"/>
      <c r="AI11" s="12"/>
      <c r="AJ11" s="18"/>
      <c r="AL11" s="58" t="s">
        <v>227</v>
      </c>
      <c r="AM11" s="58">
        <v>0.15</v>
      </c>
      <c r="BD11" s="58" t="s">
        <v>73</v>
      </c>
      <c r="BE11" s="58" t="s">
        <v>85</v>
      </c>
      <c r="BF11" s="61">
        <f>$O$23</f>
        <v>1</v>
      </c>
      <c r="BG11" s="59" t="s">
        <v>80</v>
      </c>
    </row>
    <row r="12" spans="2:59" ht="16.2" thickBot="1">
      <c r="B12" s="11"/>
      <c r="C12" s="12"/>
      <c r="D12" s="12"/>
      <c r="E12" s="12"/>
      <c r="F12" s="13"/>
      <c r="G12" s="14"/>
      <c r="H12" s="165" t="s">
        <v>34</v>
      </c>
      <c r="I12" s="152"/>
      <c r="J12" s="152"/>
      <c r="K12" s="152"/>
      <c r="L12" s="152"/>
      <c r="M12" s="152"/>
      <c r="N12" s="152"/>
      <c r="O12" s="152"/>
      <c r="P12" s="152"/>
      <c r="Q12" s="152"/>
      <c r="R12" s="152"/>
      <c r="S12" s="152"/>
      <c r="T12" s="152"/>
      <c r="U12" s="152"/>
      <c r="V12" s="166"/>
      <c r="W12" s="249" t="s">
        <v>35</v>
      </c>
      <c r="X12" s="250"/>
      <c r="Y12" s="148">
        <v>0</v>
      </c>
      <c r="Z12" s="149"/>
      <c r="AA12" s="150"/>
      <c r="AB12" s="151" t="s">
        <v>81</v>
      </c>
      <c r="AC12" s="152"/>
      <c r="AD12" s="153"/>
      <c r="AE12" s="14"/>
      <c r="AF12" s="17"/>
      <c r="AG12" s="12"/>
      <c r="AH12" s="12"/>
      <c r="AI12" s="12"/>
      <c r="AJ12" s="18"/>
      <c r="AL12" s="58" t="s">
        <v>226</v>
      </c>
      <c r="AM12" s="58">
        <v>0.3</v>
      </c>
      <c r="AW12" s="58" t="s">
        <v>112</v>
      </c>
      <c r="BD12" s="58" t="s">
        <v>74</v>
      </c>
      <c r="BE12" s="58" t="s">
        <v>86</v>
      </c>
      <c r="BF12" s="60">
        <f>$K$23</f>
        <v>0.75</v>
      </c>
      <c r="BG12" s="59" t="s">
        <v>79</v>
      </c>
    </row>
    <row r="13" spans="2:59">
      <c r="B13" s="11"/>
      <c r="C13" s="12"/>
      <c r="D13" s="12"/>
      <c r="E13" s="12"/>
      <c r="F13" s="13"/>
      <c r="G13" s="14"/>
      <c r="H13" s="4"/>
      <c r="I13" s="6"/>
      <c r="J13" s="6"/>
      <c r="K13" s="6"/>
      <c r="L13" s="6"/>
      <c r="M13" s="6"/>
      <c r="N13" s="6"/>
      <c r="O13" s="6"/>
      <c r="P13" s="6"/>
      <c r="Q13" s="6"/>
      <c r="R13" s="6"/>
      <c r="S13" s="6"/>
      <c r="T13" s="6"/>
      <c r="U13" s="6"/>
      <c r="V13" s="6"/>
      <c r="W13" s="6"/>
      <c r="X13" s="6"/>
      <c r="Y13" s="4"/>
      <c r="Z13" s="4"/>
      <c r="AA13" s="4"/>
      <c r="AB13" s="4"/>
      <c r="AC13" s="4"/>
      <c r="AD13" s="4"/>
      <c r="AE13" s="16"/>
      <c r="AF13" s="17"/>
      <c r="AG13" s="12"/>
      <c r="AH13" s="12"/>
      <c r="AI13" s="12"/>
      <c r="AJ13" s="18"/>
      <c r="AL13" s="58" t="s">
        <v>225</v>
      </c>
      <c r="AM13" s="58">
        <v>0.5</v>
      </c>
      <c r="AW13" s="58" t="s">
        <v>113</v>
      </c>
      <c r="AX13" s="58" t="s">
        <v>115</v>
      </c>
      <c r="AY13" s="58">
        <f>$Y$17</f>
        <v>1</v>
      </c>
      <c r="BD13" s="58" t="s">
        <v>75</v>
      </c>
      <c r="BE13" s="58" t="s">
        <v>87</v>
      </c>
      <c r="BF13" s="58">
        <f>BF12/BF9</f>
        <v>2.6525823848649224</v>
      </c>
      <c r="BG13" s="59" t="s">
        <v>81</v>
      </c>
    </row>
    <row r="14" spans="2:59">
      <c r="B14" s="11"/>
      <c r="C14" s="12"/>
      <c r="D14" s="12"/>
      <c r="E14" s="12"/>
      <c r="F14" s="13"/>
      <c r="G14" s="14"/>
      <c r="H14" s="15" t="s">
        <v>36</v>
      </c>
      <c r="I14" s="20"/>
      <c r="J14" s="20"/>
      <c r="K14" s="20"/>
      <c r="L14" s="20"/>
      <c r="M14" s="20"/>
      <c r="N14" s="20"/>
      <c r="O14" s="20"/>
      <c r="P14" s="20"/>
      <c r="Q14" s="20"/>
      <c r="R14" s="20"/>
      <c r="S14" s="20"/>
      <c r="T14" s="20"/>
      <c r="U14" s="20"/>
      <c r="V14" s="20"/>
      <c r="W14" s="20"/>
      <c r="X14" s="20"/>
      <c r="Y14" s="12"/>
      <c r="Z14" s="12"/>
      <c r="AA14" s="12"/>
      <c r="AB14" s="12"/>
      <c r="AC14" s="12"/>
      <c r="AD14" s="12"/>
      <c r="AE14" s="16"/>
      <c r="AF14" s="17"/>
      <c r="AG14" s="12"/>
      <c r="AH14" s="12"/>
      <c r="AI14" s="12"/>
      <c r="AJ14" s="18"/>
      <c r="AL14" s="58" t="s">
        <v>224</v>
      </c>
      <c r="AM14" s="58">
        <v>0.1</v>
      </c>
      <c r="AW14" s="58" t="s">
        <v>114</v>
      </c>
      <c r="AX14" s="58" t="s">
        <v>116</v>
      </c>
      <c r="AY14" s="58">
        <f>AY13*($BF$13^2/(2*9.81))</f>
        <v>0.35862351215574306</v>
      </c>
      <c r="BD14" s="58" t="s">
        <v>76</v>
      </c>
      <c r="BE14" s="58" t="s">
        <v>88</v>
      </c>
      <c r="BF14" s="58">
        <f>Y18</f>
        <v>13</v>
      </c>
      <c r="BG14" s="59" t="s">
        <v>29</v>
      </c>
    </row>
    <row r="15" spans="2:59" ht="15" thickBot="1">
      <c r="B15" s="11"/>
      <c r="C15" s="12"/>
      <c r="D15" s="12"/>
      <c r="E15" s="12"/>
      <c r="F15" s="21"/>
      <c r="G15" s="19"/>
      <c r="H15" s="19"/>
      <c r="I15" s="19"/>
      <c r="J15" s="19"/>
      <c r="K15" s="19"/>
      <c r="L15" s="19"/>
      <c r="M15" s="19"/>
      <c r="N15" s="19"/>
      <c r="O15" s="19"/>
      <c r="P15" s="19"/>
      <c r="Q15" s="19"/>
      <c r="R15" s="19"/>
      <c r="S15" s="19"/>
      <c r="T15" s="19"/>
      <c r="U15" s="19"/>
      <c r="V15" s="19"/>
      <c r="W15" s="19"/>
      <c r="X15" s="19"/>
      <c r="Y15" s="19"/>
      <c r="Z15" s="19"/>
      <c r="AA15" s="19"/>
      <c r="AB15" s="19"/>
      <c r="AC15" s="19"/>
      <c r="AD15" s="19"/>
      <c r="AE15" s="22"/>
      <c r="AF15" s="23"/>
      <c r="AG15" s="19"/>
      <c r="AH15" s="19"/>
      <c r="AI15" s="12"/>
      <c r="AJ15" s="18"/>
      <c r="AL15" s="58" t="s">
        <v>223</v>
      </c>
      <c r="AM15" s="58">
        <v>0.2</v>
      </c>
      <c r="AW15" s="58" t="s">
        <v>117</v>
      </c>
      <c r="AX15" s="58" t="s">
        <v>118</v>
      </c>
      <c r="AY15" s="58">
        <f>AY9</f>
        <v>12.95</v>
      </c>
      <c r="AZ15" s="58" t="s">
        <v>29</v>
      </c>
      <c r="BD15" s="58" t="s">
        <v>77</v>
      </c>
      <c r="BE15" s="58" t="s">
        <v>89</v>
      </c>
      <c r="BF15" s="58">
        <f>BF14+BF10*BF11%</f>
        <v>13.87</v>
      </c>
      <c r="BG15" s="59" t="s">
        <v>29</v>
      </c>
    </row>
    <row r="16" spans="2:59" ht="15" thickBot="1">
      <c r="B16" s="11"/>
      <c r="C16" s="12"/>
      <c r="D16" s="12"/>
      <c r="E16" s="12"/>
      <c r="F16" s="13"/>
      <c r="G16" s="20"/>
      <c r="H16" s="239" t="s">
        <v>65</v>
      </c>
      <c r="I16" s="240"/>
      <c r="J16" s="240"/>
      <c r="K16" s="240"/>
      <c r="L16" s="240"/>
      <c r="M16" s="240"/>
      <c r="N16" s="240"/>
      <c r="O16" s="240"/>
      <c r="P16" s="240"/>
      <c r="Q16" s="240"/>
      <c r="R16" s="240"/>
      <c r="S16" s="240"/>
      <c r="T16" s="240"/>
      <c r="U16" s="240"/>
      <c r="V16" s="241"/>
      <c r="W16" s="231" t="s">
        <v>179</v>
      </c>
      <c r="X16" s="232"/>
      <c r="Y16" s="233"/>
      <c r="Z16" s="233"/>
      <c r="AA16" s="233"/>
      <c r="AB16" s="232"/>
      <c r="AC16" s="232"/>
      <c r="AD16" s="234"/>
      <c r="AE16" s="16"/>
      <c r="AF16" s="17"/>
      <c r="AG16" s="12"/>
      <c r="AH16" s="12"/>
      <c r="AI16" s="20"/>
      <c r="AJ16" s="18"/>
      <c r="AL16" s="58" t="s">
        <v>222</v>
      </c>
      <c r="AM16" s="58">
        <v>0.4</v>
      </c>
      <c r="AW16" s="58" t="s">
        <v>120</v>
      </c>
      <c r="AX16" s="58" t="s">
        <v>121</v>
      </c>
      <c r="AY16" s="58">
        <f>AY15+AY14</f>
        <v>13.308623512155743</v>
      </c>
      <c r="AZ16" s="58" t="s">
        <v>29</v>
      </c>
    </row>
    <row r="17" spans="2:59">
      <c r="B17" s="11"/>
      <c r="C17" s="12"/>
      <c r="D17" s="12"/>
      <c r="E17" s="12"/>
      <c r="F17" s="13"/>
      <c r="G17" s="20"/>
      <c r="H17" s="163" t="s">
        <v>66</v>
      </c>
      <c r="I17" s="146"/>
      <c r="J17" s="146"/>
      <c r="K17" s="146"/>
      <c r="L17" s="146"/>
      <c r="M17" s="146"/>
      <c r="N17" s="146"/>
      <c r="O17" s="146"/>
      <c r="P17" s="146"/>
      <c r="Q17" s="146"/>
      <c r="R17" s="146"/>
      <c r="S17" s="146"/>
      <c r="T17" s="146"/>
      <c r="U17" s="146"/>
      <c r="V17" s="164"/>
      <c r="W17" s="235"/>
      <c r="X17" s="236"/>
      <c r="Y17" s="154">
        <v>1</v>
      </c>
      <c r="Z17" s="155"/>
      <c r="AA17" s="156"/>
      <c r="AB17" s="237"/>
      <c r="AC17" s="238"/>
      <c r="AD17" s="224"/>
      <c r="AE17" s="16"/>
      <c r="AF17" s="17"/>
      <c r="AG17" s="12"/>
      <c r="AH17" s="12"/>
      <c r="AI17" s="20"/>
      <c r="AJ17" s="18"/>
      <c r="AL17" s="58" t="s">
        <v>221</v>
      </c>
      <c r="AM17" s="58">
        <v>0.05</v>
      </c>
      <c r="BD17" s="58" t="s">
        <v>90</v>
      </c>
    </row>
    <row r="18" spans="2:59">
      <c r="B18" s="11"/>
      <c r="C18" s="12"/>
      <c r="D18" s="12"/>
      <c r="E18" s="12"/>
      <c r="F18" s="13"/>
      <c r="G18" s="20"/>
      <c r="H18" s="163" t="s">
        <v>67</v>
      </c>
      <c r="I18" s="146"/>
      <c r="J18" s="146"/>
      <c r="K18" s="146"/>
      <c r="L18" s="146"/>
      <c r="M18" s="146"/>
      <c r="N18" s="146"/>
      <c r="O18" s="146"/>
      <c r="P18" s="146"/>
      <c r="Q18" s="146"/>
      <c r="R18" s="146"/>
      <c r="S18" s="146"/>
      <c r="T18" s="146"/>
      <c r="U18" s="146"/>
      <c r="V18" s="164"/>
      <c r="W18" s="218"/>
      <c r="X18" s="219"/>
      <c r="Y18" s="154">
        <v>13</v>
      </c>
      <c r="Z18" s="155"/>
      <c r="AA18" s="156"/>
      <c r="AB18" s="145" t="s">
        <v>29</v>
      </c>
      <c r="AC18" s="146"/>
      <c r="AD18" s="147"/>
      <c r="AE18" s="16"/>
      <c r="AF18" s="17"/>
      <c r="AG18" s="12"/>
      <c r="AH18" s="12"/>
      <c r="AI18" s="20"/>
      <c r="AJ18" s="18"/>
      <c r="AL18" s="58" t="s">
        <v>220</v>
      </c>
      <c r="AM18" s="58">
        <v>0.1</v>
      </c>
      <c r="AW18" s="58" t="s">
        <v>140</v>
      </c>
      <c r="BD18" s="58" t="s">
        <v>70</v>
      </c>
      <c r="BE18" s="58" t="s">
        <v>82</v>
      </c>
      <c r="BF18" s="60">
        <f>$G$24</f>
        <v>0.52500000000000002</v>
      </c>
      <c r="BG18" s="59" t="s">
        <v>29</v>
      </c>
    </row>
    <row r="19" spans="2:59" ht="15" thickBot="1">
      <c r="B19" s="11"/>
      <c r="C19" s="12"/>
      <c r="D19" s="12"/>
      <c r="E19" s="12"/>
      <c r="F19" s="13"/>
      <c r="G19" s="20"/>
      <c r="H19" s="165" t="s">
        <v>43</v>
      </c>
      <c r="I19" s="152"/>
      <c r="J19" s="152"/>
      <c r="K19" s="152"/>
      <c r="L19" s="152"/>
      <c r="M19" s="152"/>
      <c r="N19" s="152"/>
      <c r="O19" s="152"/>
      <c r="P19" s="152"/>
      <c r="Q19" s="152"/>
      <c r="R19" s="152"/>
      <c r="S19" s="152"/>
      <c r="T19" s="152"/>
      <c r="U19" s="152"/>
      <c r="V19" s="166"/>
      <c r="W19" s="249"/>
      <c r="X19" s="250"/>
      <c r="Y19" s="148">
        <v>15</v>
      </c>
      <c r="Z19" s="149"/>
      <c r="AA19" s="150"/>
      <c r="AB19" s="151" t="s">
        <v>29</v>
      </c>
      <c r="AC19" s="152"/>
      <c r="AD19" s="153"/>
      <c r="AE19" s="16"/>
      <c r="AF19" s="17"/>
      <c r="AG19" s="12"/>
      <c r="AH19" s="12"/>
      <c r="AI19" s="20"/>
      <c r="AJ19" s="18"/>
      <c r="AL19" s="58" t="s">
        <v>219</v>
      </c>
      <c r="AM19" s="58">
        <v>0.2</v>
      </c>
      <c r="AW19" s="58" t="s">
        <v>123</v>
      </c>
      <c r="AX19" s="58" t="s">
        <v>124</v>
      </c>
      <c r="AY19" s="60">
        <f>$M$23*10^-3</f>
        <v>5.9999999999999995E-4</v>
      </c>
      <c r="AZ19" s="58" t="s">
        <v>64</v>
      </c>
      <c r="BD19" s="58" t="s">
        <v>71</v>
      </c>
      <c r="BE19" s="58" t="s">
        <v>83</v>
      </c>
      <c r="BF19" s="58">
        <f>PI()*(BF18/2)^2</f>
        <v>0.21647536878642168</v>
      </c>
      <c r="BG19" s="59" t="s">
        <v>78</v>
      </c>
    </row>
    <row r="20" spans="2:59" ht="15" thickBot="1">
      <c r="B20" s="11"/>
      <c r="C20" s="12"/>
      <c r="D20" s="12"/>
      <c r="E20" s="12"/>
      <c r="F20" s="13"/>
      <c r="G20" s="20"/>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20"/>
      <c r="AJ20" s="18"/>
      <c r="AL20" s="58" t="s">
        <v>217</v>
      </c>
      <c r="AM20" s="58">
        <v>0.15</v>
      </c>
      <c r="AP20" s="58" t="s">
        <v>169</v>
      </c>
      <c r="AQ20" s="58" t="s">
        <v>163</v>
      </c>
      <c r="AR20" s="58" t="s">
        <v>119</v>
      </c>
      <c r="AS20" s="58" t="s">
        <v>170</v>
      </c>
      <c r="AW20" s="58" t="s">
        <v>125</v>
      </c>
      <c r="AX20" s="58" t="s">
        <v>126</v>
      </c>
      <c r="AY20" s="58">
        <f>1.31*10^-6</f>
        <v>1.31E-6</v>
      </c>
      <c r="AZ20" s="58" t="s">
        <v>139</v>
      </c>
      <c r="BD20" s="58" t="s">
        <v>72</v>
      </c>
      <c r="BE20" s="58" t="s">
        <v>84</v>
      </c>
      <c r="BF20" s="61">
        <f>$I$24</f>
        <v>100</v>
      </c>
      <c r="BG20" s="59" t="s">
        <v>29</v>
      </c>
    </row>
    <row r="21" spans="2:59">
      <c r="B21" s="11"/>
      <c r="C21" s="12"/>
      <c r="D21" s="12"/>
      <c r="E21" s="270" t="s">
        <v>37</v>
      </c>
      <c r="F21" s="271"/>
      <c r="G21" s="311" t="s">
        <v>38</v>
      </c>
      <c r="H21" s="304"/>
      <c r="I21" s="167" t="s">
        <v>39</v>
      </c>
      <c r="J21" s="188"/>
      <c r="K21" s="188" t="s">
        <v>40</v>
      </c>
      <c r="L21" s="189"/>
      <c r="M21" s="167" t="s">
        <v>41</v>
      </c>
      <c r="N21" s="168"/>
      <c r="O21" s="306" t="s">
        <v>42</v>
      </c>
      <c r="P21" s="307"/>
      <c r="Q21" s="167" t="s">
        <v>43</v>
      </c>
      <c r="R21" s="188"/>
      <c r="S21" s="304"/>
      <c r="T21" s="266" t="s">
        <v>44</v>
      </c>
      <c r="U21" s="267"/>
      <c r="V21" s="296" t="s">
        <v>63</v>
      </c>
      <c r="W21" s="297"/>
      <c r="X21" s="297"/>
      <c r="Y21" s="298"/>
      <c r="Z21" s="298"/>
      <c r="AA21" s="298"/>
      <c r="AB21" s="298"/>
      <c r="AC21" s="298"/>
      <c r="AD21" s="298"/>
      <c r="AE21" s="299"/>
      <c r="AF21" s="257" t="s">
        <v>59</v>
      </c>
      <c r="AG21" s="258"/>
      <c r="AH21" s="12"/>
      <c r="AI21" s="20"/>
      <c r="AJ21" s="18"/>
      <c r="AL21" s="58" t="s">
        <v>216</v>
      </c>
      <c r="AM21" s="58">
        <v>0.2</v>
      </c>
      <c r="AO21" s="58">
        <v>1</v>
      </c>
      <c r="AP21" s="58">
        <v>0</v>
      </c>
      <c r="AQ21" s="60">
        <f>M38</f>
        <v>12.95</v>
      </c>
      <c r="AR21" s="60">
        <f>P38</f>
        <v>13.308623512155743</v>
      </c>
      <c r="AS21" s="60">
        <f>S38</f>
        <v>15</v>
      </c>
      <c r="AW21" s="58" t="s">
        <v>127</v>
      </c>
      <c r="AX21" s="58" t="s">
        <v>128</v>
      </c>
      <c r="AY21" s="58">
        <f>($BF$13*$BF$8/AY20)</f>
        <v>1214923.2297091247</v>
      </c>
      <c r="BD21" s="58" t="s">
        <v>73</v>
      </c>
      <c r="BE21" s="58" t="s">
        <v>85</v>
      </c>
      <c r="BF21" s="61">
        <f>$O$24</f>
        <v>0.8</v>
      </c>
      <c r="BG21" s="59" t="s">
        <v>80</v>
      </c>
    </row>
    <row r="22" spans="2:59" ht="15" thickBot="1">
      <c r="B22" s="11"/>
      <c r="C22" s="12"/>
      <c r="D22" s="12"/>
      <c r="E22" s="272"/>
      <c r="F22" s="273"/>
      <c r="G22" s="312"/>
      <c r="H22" s="305"/>
      <c r="I22" s="225"/>
      <c r="J22" s="190"/>
      <c r="K22" s="190"/>
      <c r="L22" s="191"/>
      <c r="M22" s="169"/>
      <c r="N22" s="170"/>
      <c r="O22" s="308"/>
      <c r="P22" s="309"/>
      <c r="Q22" s="225"/>
      <c r="R22" s="190"/>
      <c r="S22" s="305"/>
      <c r="T22" s="268"/>
      <c r="U22" s="269"/>
      <c r="V22" s="300"/>
      <c r="W22" s="301"/>
      <c r="X22" s="301"/>
      <c r="Y22" s="302"/>
      <c r="Z22" s="302"/>
      <c r="AA22" s="302"/>
      <c r="AB22" s="302"/>
      <c r="AC22" s="302"/>
      <c r="AD22" s="302"/>
      <c r="AE22" s="303"/>
      <c r="AF22" s="259"/>
      <c r="AG22" s="260"/>
      <c r="AH22" s="12"/>
      <c r="AI22" s="20"/>
      <c r="AJ22" s="18"/>
      <c r="AL22" s="58" t="s">
        <v>215</v>
      </c>
      <c r="AM22" s="58">
        <v>0.3</v>
      </c>
      <c r="AO22" s="58">
        <v>2</v>
      </c>
      <c r="AP22" s="61">
        <f>I23</f>
        <v>87</v>
      </c>
      <c r="AQ22" s="58">
        <f>IF(G23="",M38,M39)</f>
        <v>14.329670135981026</v>
      </c>
      <c r="AR22" s="58">
        <f>IF(G23="",P38,P39)</f>
        <v>14.601579415594136</v>
      </c>
      <c r="AS22" s="58">
        <f t="shared" ref="AS22:AS31" si="0">IF(G23="",AS21,S39)</f>
        <v>17</v>
      </c>
      <c r="AW22" s="58" t="s">
        <v>129</v>
      </c>
      <c r="AX22" s="58" t="s">
        <v>130</v>
      </c>
      <c r="AY22" s="58">
        <f>(1/(-2*LOG10((AY19/(3.7*$BF$8)))+(5.1286/AY21^0.89)))^2</f>
        <v>1.9635357457849546E-2</v>
      </c>
      <c r="AZ22" s="62"/>
      <c r="BD22" s="58" t="s">
        <v>74</v>
      </c>
      <c r="BE22" s="58" t="s">
        <v>86</v>
      </c>
      <c r="BF22" s="60">
        <f>$K$24</f>
        <v>0.5</v>
      </c>
      <c r="BG22" s="59" t="s">
        <v>79</v>
      </c>
    </row>
    <row r="23" spans="2:59">
      <c r="B23" s="11"/>
      <c r="C23" s="12"/>
      <c r="D23" s="12"/>
      <c r="E23" s="223">
        <v>1</v>
      </c>
      <c r="F23" s="224"/>
      <c r="G23" s="482">
        <v>0.6</v>
      </c>
      <c r="H23" s="481"/>
      <c r="I23" s="478">
        <v>87</v>
      </c>
      <c r="J23" s="479"/>
      <c r="K23" s="480">
        <v>0.75</v>
      </c>
      <c r="L23" s="481"/>
      <c r="M23" s="480">
        <v>0.6</v>
      </c>
      <c r="N23" s="481"/>
      <c r="O23" s="478">
        <v>1</v>
      </c>
      <c r="P23" s="479"/>
      <c r="Q23" s="470">
        <v>17</v>
      </c>
      <c r="R23" s="477"/>
      <c r="S23" s="471"/>
      <c r="T23" s="470">
        <v>0.1</v>
      </c>
      <c r="U23" s="471"/>
      <c r="V23" s="474" t="s">
        <v>214</v>
      </c>
      <c r="W23" s="475"/>
      <c r="X23" s="475"/>
      <c r="Y23" s="475"/>
      <c r="Z23" s="475"/>
      <c r="AA23" s="475"/>
      <c r="AB23" s="475"/>
      <c r="AC23" s="475"/>
      <c r="AD23" s="475"/>
      <c r="AE23" s="475"/>
      <c r="AF23" s="470">
        <v>1</v>
      </c>
      <c r="AG23" s="473"/>
      <c r="AH23" s="12"/>
      <c r="AI23" s="20"/>
      <c r="AJ23" s="18"/>
      <c r="AL23" s="58" t="s">
        <v>213</v>
      </c>
      <c r="AM23" s="58">
        <v>0.65</v>
      </c>
      <c r="AO23" s="58">
        <v>3</v>
      </c>
      <c r="AP23" s="61">
        <f t="shared" ref="AP23:AP31" si="1">AP22+I24</f>
        <v>187</v>
      </c>
      <c r="AQ23" s="58">
        <f t="shared" ref="AQ23:AQ31" si="2">IF(AQ22=AQ21,AQ22,IF(G24="",M39,M40))</f>
        <v>15.652416727203887</v>
      </c>
      <c r="AR23" s="58">
        <f t="shared" ref="AR23:AR31" si="3">IF(AR22=AR21,AR22,IF(G24="",P39,P40))</f>
        <v>16.156162236734041</v>
      </c>
      <c r="AS23" s="58">
        <f t="shared" si="0"/>
        <v>18</v>
      </c>
      <c r="AW23" s="58" t="s">
        <v>131</v>
      </c>
      <c r="AX23" s="58" t="s">
        <v>132</v>
      </c>
      <c r="AY23" s="58">
        <f>AY22*$BF$13^2/(2*9.81*$BF$8)</f>
        <v>1.1736168089945778E-2</v>
      </c>
      <c r="AZ23" s="58" t="s">
        <v>29</v>
      </c>
      <c r="BD23" s="58" t="s">
        <v>75</v>
      </c>
      <c r="BE23" s="58" t="s">
        <v>87</v>
      </c>
      <c r="BF23" s="58">
        <f>BF22/BF19</f>
        <v>2.3097316004265993</v>
      </c>
      <c r="BG23" s="59" t="s">
        <v>81</v>
      </c>
    </row>
    <row r="24" spans="2:59">
      <c r="B24" s="11"/>
      <c r="C24" s="12"/>
      <c r="D24" s="12"/>
      <c r="E24" s="163">
        <v>2</v>
      </c>
      <c r="F24" s="147"/>
      <c r="G24" s="476">
        <v>0.52500000000000002</v>
      </c>
      <c r="H24" s="461"/>
      <c r="I24" s="128">
        <v>100</v>
      </c>
      <c r="J24" s="129"/>
      <c r="K24" s="115">
        <v>0.5</v>
      </c>
      <c r="L24" s="461"/>
      <c r="M24" s="115">
        <v>0.6</v>
      </c>
      <c r="N24" s="461"/>
      <c r="O24" s="128">
        <v>0.8</v>
      </c>
      <c r="P24" s="129"/>
      <c r="Q24" s="122">
        <v>18</v>
      </c>
      <c r="R24" s="125"/>
      <c r="S24" s="123"/>
      <c r="T24" s="122">
        <v>0.2</v>
      </c>
      <c r="U24" s="123"/>
      <c r="V24" s="262" t="s">
        <v>214</v>
      </c>
      <c r="W24" s="263"/>
      <c r="X24" s="263"/>
      <c r="Y24" s="263"/>
      <c r="Z24" s="263"/>
      <c r="AA24" s="263"/>
      <c r="AB24" s="263"/>
      <c r="AC24" s="263"/>
      <c r="AD24" s="263"/>
      <c r="AE24" s="263"/>
      <c r="AF24" s="122">
        <v>1</v>
      </c>
      <c r="AG24" s="276"/>
      <c r="AH24" s="12"/>
      <c r="AI24" s="20"/>
      <c r="AJ24" s="18"/>
      <c r="AL24" s="58" t="s">
        <v>212</v>
      </c>
      <c r="AM24" s="58">
        <v>0.25</v>
      </c>
      <c r="AO24" s="58">
        <v>4</v>
      </c>
      <c r="AP24" s="61">
        <f t="shared" si="1"/>
        <v>262</v>
      </c>
      <c r="AQ24" s="58">
        <f t="shared" si="2"/>
        <v>17.926502702584035</v>
      </c>
      <c r="AR24" s="58">
        <f t="shared" si="3"/>
        <v>18.09363337275391</v>
      </c>
      <c r="AS24" s="58">
        <f t="shared" si="0"/>
        <v>18.5</v>
      </c>
      <c r="AW24" s="58" t="s">
        <v>133</v>
      </c>
      <c r="AX24" s="58" t="s">
        <v>134</v>
      </c>
      <c r="AY24" s="58">
        <f>AY23*$BF$10</f>
        <v>1.0210466238252827</v>
      </c>
      <c r="AZ24" s="58" t="s">
        <v>29</v>
      </c>
      <c r="BD24" s="58" t="s">
        <v>76</v>
      </c>
      <c r="BE24" s="58" t="s">
        <v>88</v>
      </c>
      <c r="BF24" s="63">
        <f>BF15+$T$23</f>
        <v>13.969999999999999</v>
      </c>
      <c r="BG24" s="59" t="s">
        <v>29</v>
      </c>
    </row>
    <row r="25" spans="2:59">
      <c r="B25" s="11"/>
      <c r="C25" s="12"/>
      <c r="D25" s="12"/>
      <c r="E25" s="163">
        <v>3</v>
      </c>
      <c r="F25" s="147"/>
      <c r="G25" s="497">
        <v>0.45</v>
      </c>
      <c r="H25" s="498"/>
      <c r="I25" s="485">
        <v>75</v>
      </c>
      <c r="J25" s="486"/>
      <c r="K25" s="489">
        <v>0.5</v>
      </c>
      <c r="L25" s="498"/>
      <c r="M25" s="489">
        <v>0.6</v>
      </c>
      <c r="N25" s="498"/>
      <c r="O25" s="485">
        <v>1</v>
      </c>
      <c r="P25" s="486"/>
      <c r="Q25" s="491">
        <v>18.5</v>
      </c>
      <c r="R25" s="492"/>
      <c r="S25" s="493"/>
      <c r="T25" s="491">
        <v>0.1</v>
      </c>
      <c r="U25" s="493"/>
      <c r="V25" s="494" t="s">
        <v>214</v>
      </c>
      <c r="W25" s="495"/>
      <c r="X25" s="495"/>
      <c r="Y25" s="495"/>
      <c r="Z25" s="495"/>
      <c r="AA25" s="495"/>
      <c r="AB25" s="495"/>
      <c r="AC25" s="495"/>
      <c r="AD25" s="495"/>
      <c r="AE25" s="495"/>
      <c r="AF25" s="491">
        <v>1</v>
      </c>
      <c r="AG25" s="496"/>
      <c r="AH25" s="12"/>
      <c r="AI25" s="20"/>
      <c r="AJ25" s="18"/>
      <c r="AL25" s="58" t="s">
        <v>211</v>
      </c>
      <c r="AM25" s="58">
        <v>1.25</v>
      </c>
      <c r="AO25" s="58">
        <v>5</v>
      </c>
      <c r="AP25" s="61">
        <f t="shared" si="1"/>
        <v>312</v>
      </c>
      <c r="AQ25" s="58">
        <f t="shared" si="2"/>
        <v>18.83659146556089</v>
      </c>
      <c r="AR25" s="58">
        <f t="shared" si="3"/>
        <v>19.003722135730765</v>
      </c>
      <c r="AS25" s="58">
        <f t="shared" si="0"/>
        <v>19</v>
      </c>
      <c r="AW25" s="58" t="s">
        <v>135</v>
      </c>
      <c r="AX25" s="58" t="s">
        <v>136</v>
      </c>
      <c r="AY25" s="58">
        <f>AY16+AY24</f>
        <v>14.329670135981026</v>
      </c>
      <c r="AZ25" s="58" t="s">
        <v>29</v>
      </c>
      <c r="BD25" s="58" t="s">
        <v>77</v>
      </c>
      <c r="BE25" s="58" t="s">
        <v>89</v>
      </c>
      <c r="BF25" s="58">
        <f>BF24+BF20*BF21%</f>
        <v>14.77</v>
      </c>
      <c r="BG25" s="59" t="s">
        <v>29</v>
      </c>
    </row>
    <row r="26" spans="2:59">
      <c r="B26" s="11"/>
      <c r="C26" s="12"/>
      <c r="D26" s="12"/>
      <c r="E26" s="163">
        <v>4</v>
      </c>
      <c r="F26" s="147"/>
      <c r="G26" s="497">
        <v>0.375</v>
      </c>
      <c r="H26" s="498"/>
      <c r="I26" s="485">
        <v>50</v>
      </c>
      <c r="J26" s="486"/>
      <c r="K26" s="489">
        <v>0.2</v>
      </c>
      <c r="L26" s="498"/>
      <c r="M26" s="489">
        <v>0.6</v>
      </c>
      <c r="N26" s="498"/>
      <c r="O26" s="485">
        <v>2</v>
      </c>
      <c r="P26" s="486"/>
      <c r="Q26" s="491">
        <v>19</v>
      </c>
      <c r="R26" s="492"/>
      <c r="S26" s="493"/>
      <c r="T26" s="491">
        <v>0.15</v>
      </c>
      <c r="U26" s="493"/>
      <c r="V26" s="494" t="s">
        <v>218</v>
      </c>
      <c r="W26" s="495"/>
      <c r="X26" s="495"/>
      <c r="Y26" s="495"/>
      <c r="Z26" s="495"/>
      <c r="AA26" s="495"/>
      <c r="AB26" s="495"/>
      <c r="AC26" s="495"/>
      <c r="AD26" s="495"/>
      <c r="AE26" s="495"/>
      <c r="AF26" s="491">
        <v>2.5</v>
      </c>
      <c r="AG26" s="496"/>
      <c r="AH26" s="12"/>
      <c r="AI26" s="20"/>
      <c r="AJ26" s="18"/>
      <c r="AL26" s="58" t="s">
        <v>210</v>
      </c>
      <c r="AM26" s="58">
        <v>0.5</v>
      </c>
      <c r="AO26" s="58">
        <v>6</v>
      </c>
      <c r="AP26" s="61">
        <f t="shared" si="1"/>
        <v>362</v>
      </c>
      <c r="AQ26" s="58">
        <f t="shared" si="2"/>
        <v>19.495984223282932</v>
      </c>
      <c r="AR26" s="58">
        <f t="shared" si="3"/>
        <v>19.663114893452807</v>
      </c>
      <c r="AS26" s="58">
        <f t="shared" si="0"/>
        <v>20</v>
      </c>
      <c r="AW26" s="58" t="s">
        <v>137</v>
      </c>
      <c r="AX26" s="58" t="s">
        <v>138</v>
      </c>
      <c r="AY26" s="58">
        <f>AY25-$BF$13^2/(2*9.81)</f>
        <v>13.971046623825282</v>
      </c>
      <c r="AZ26" s="58" t="s">
        <v>29</v>
      </c>
    </row>
    <row r="27" spans="2:59">
      <c r="B27" s="11"/>
      <c r="C27" s="12"/>
      <c r="D27" s="12"/>
      <c r="E27" s="163">
        <v>5</v>
      </c>
      <c r="F27" s="147"/>
      <c r="G27" s="497">
        <v>0.375</v>
      </c>
      <c r="H27" s="498"/>
      <c r="I27" s="485">
        <v>50</v>
      </c>
      <c r="J27" s="486"/>
      <c r="K27" s="489">
        <v>0.2</v>
      </c>
      <c r="L27" s="498"/>
      <c r="M27" s="489">
        <v>0.6</v>
      </c>
      <c r="N27" s="498"/>
      <c r="O27" s="485">
        <v>3</v>
      </c>
      <c r="P27" s="486"/>
      <c r="Q27" s="491">
        <v>20</v>
      </c>
      <c r="R27" s="492"/>
      <c r="S27" s="493"/>
      <c r="T27" s="491">
        <v>0.1</v>
      </c>
      <c r="U27" s="493"/>
      <c r="V27" s="494" t="s">
        <v>214</v>
      </c>
      <c r="W27" s="495"/>
      <c r="X27" s="495"/>
      <c r="Y27" s="495"/>
      <c r="Z27" s="495"/>
      <c r="AA27" s="495"/>
      <c r="AB27" s="495"/>
      <c r="AC27" s="495"/>
      <c r="AD27" s="495"/>
      <c r="AE27" s="495"/>
      <c r="AF27" s="491">
        <v>1</v>
      </c>
      <c r="AG27" s="496"/>
      <c r="AH27" s="12"/>
      <c r="AI27" s="20"/>
      <c r="AJ27" s="18"/>
      <c r="AL27" s="58" t="s">
        <v>209</v>
      </c>
      <c r="AM27" s="58">
        <v>0.3</v>
      </c>
      <c r="AO27" s="58">
        <v>7</v>
      </c>
      <c r="AP27" s="61">
        <f t="shared" si="1"/>
        <v>412</v>
      </c>
      <c r="AQ27" s="58">
        <f t="shared" si="2"/>
        <v>20.155376981004974</v>
      </c>
      <c r="AR27" s="58">
        <f t="shared" si="3"/>
        <v>20.322507651174849</v>
      </c>
      <c r="AS27" s="58">
        <f t="shared" si="0"/>
        <v>21</v>
      </c>
      <c r="BD27" s="58" t="s">
        <v>91</v>
      </c>
    </row>
    <row r="28" spans="2:59">
      <c r="B28" s="11"/>
      <c r="C28" s="12"/>
      <c r="D28" s="12"/>
      <c r="E28" s="163">
        <v>6</v>
      </c>
      <c r="F28" s="147"/>
      <c r="G28" s="497">
        <v>0.375</v>
      </c>
      <c r="H28" s="498"/>
      <c r="I28" s="485">
        <v>50</v>
      </c>
      <c r="J28" s="486"/>
      <c r="K28" s="489">
        <v>0.2</v>
      </c>
      <c r="L28" s="498"/>
      <c r="M28" s="489">
        <v>0.6</v>
      </c>
      <c r="N28" s="498"/>
      <c r="O28" s="485">
        <v>1</v>
      </c>
      <c r="P28" s="486"/>
      <c r="Q28" s="491">
        <v>21</v>
      </c>
      <c r="R28" s="492"/>
      <c r="S28" s="493"/>
      <c r="T28" s="491">
        <v>0.1</v>
      </c>
      <c r="U28" s="493"/>
      <c r="V28" s="494" t="s">
        <v>214</v>
      </c>
      <c r="W28" s="495"/>
      <c r="X28" s="495"/>
      <c r="Y28" s="495"/>
      <c r="Z28" s="495"/>
      <c r="AA28" s="495"/>
      <c r="AB28" s="495"/>
      <c r="AC28" s="495"/>
      <c r="AD28" s="495"/>
      <c r="AE28" s="495"/>
      <c r="AF28" s="491">
        <v>1</v>
      </c>
      <c r="AG28" s="496"/>
      <c r="AH28" s="12"/>
      <c r="AI28" s="12"/>
      <c r="AJ28" s="18"/>
      <c r="AL28" s="58" t="s">
        <v>208</v>
      </c>
      <c r="AM28" s="58">
        <v>0.35</v>
      </c>
      <c r="AO28" s="58">
        <v>8</v>
      </c>
      <c r="AP28" s="61">
        <f t="shared" si="1"/>
        <v>462</v>
      </c>
      <c r="AQ28" s="58">
        <f t="shared" si="2"/>
        <v>20.814769738727016</v>
      </c>
      <c r="AR28" s="58">
        <f t="shared" si="3"/>
        <v>20.981900408896891</v>
      </c>
      <c r="AS28" s="58">
        <f t="shared" si="0"/>
        <v>22</v>
      </c>
      <c r="AW28" s="58" t="s">
        <v>141</v>
      </c>
      <c r="BD28" s="58" t="s">
        <v>70</v>
      </c>
      <c r="BE28" s="58" t="s">
        <v>82</v>
      </c>
      <c r="BF28" s="60">
        <f>$G$25</f>
        <v>0.45</v>
      </c>
      <c r="BG28" s="59" t="s">
        <v>29</v>
      </c>
    </row>
    <row r="29" spans="2:59">
      <c r="B29" s="11"/>
      <c r="C29" s="12"/>
      <c r="D29" s="12"/>
      <c r="E29" s="163">
        <v>7</v>
      </c>
      <c r="F29" s="147"/>
      <c r="G29" s="476">
        <v>0.375</v>
      </c>
      <c r="H29" s="461"/>
      <c r="I29" s="128">
        <v>50</v>
      </c>
      <c r="J29" s="129"/>
      <c r="K29" s="115">
        <v>0.2</v>
      </c>
      <c r="L29" s="461"/>
      <c r="M29" s="115">
        <v>0.6</v>
      </c>
      <c r="N29" s="461"/>
      <c r="O29" s="128">
        <v>1</v>
      </c>
      <c r="P29" s="129"/>
      <c r="Q29" s="122">
        <v>22</v>
      </c>
      <c r="R29" s="125"/>
      <c r="S29" s="123"/>
      <c r="T29" s="122">
        <v>0.1</v>
      </c>
      <c r="U29" s="123"/>
      <c r="V29" s="262" t="s">
        <v>214</v>
      </c>
      <c r="W29" s="263"/>
      <c r="X29" s="263"/>
      <c r="Y29" s="263"/>
      <c r="Z29" s="263"/>
      <c r="AA29" s="263"/>
      <c r="AB29" s="263"/>
      <c r="AC29" s="263"/>
      <c r="AD29" s="263"/>
      <c r="AE29" s="263"/>
      <c r="AF29" s="122">
        <v>1</v>
      </c>
      <c r="AG29" s="276"/>
      <c r="AH29" s="12"/>
      <c r="AI29" s="12"/>
      <c r="AJ29" s="18"/>
      <c r="AL29" s="58" t="s">
        <v>207</v>
      </c>
      <c r="AM29" s="58">
        <v>1.2</v>
      </c>
      <c r="AO29" s="58">
        <v>9</v>
      </c>
      <c r="AP29" s="61">
        <f t="shared" si="1"/>
        <v>462</v>
      </c>
      <c r="AQ29" s="58">
        <f t="shared" si="2"/>
        <v>20.814769738727016</v>
      </c>
      <c r="AR29" s="58">
        <f t="shared" si="3"/>
        <v>20.981900408896891</v>
      </c>
      <c r="AS29" s="58">
        <f t="shared" si="0"/>
        <v>22</v>
      </c>
      <c r="AW29" s="58" t="s">
        <v>113</v>
      </c>
      <c r="AX29" s="58" t="s">
        <v>115</v>
      </c>
      <c r="AY29" s="63">
        <f>$AF$23</f>
        <v>1</v>
      </c>
      <c r="BD29" s="58" t="s">
        <v>71</v>
      </c>
      <c r="BE29" s="58" t="s">
        <v>83</v>
      </c>
      <c r="BF29" s="58">
        <f>PI()*(BF28/2)^2</f>
        <v>0.15904312808798329</v>
      </c>
      <c r="BG29" s="59" t="s">
        <v>78</v>
      </c>
    </row>
    <row r="30" spans="2:59">
      <c r="B30" s="11"/>
      <c r="C30" s="12"/>
      <c r="D30" s="12"/>
      <c r="E30" s="163">
        <v>8</v>
      </c>
      <c r="F30" s="147"/>
      <c r="G30" s="462"/>
      <c r="H30" s="116"/>
      <c r="I30" s="128"/>
      <c r="J30" s="469"/>
      <c r="K30" s="115"/>
      <c r="L30" s="116"/>
      <c r="M30" s="115"/>
      <c r="N30" s="116"/>
      <c r="O30" s="128"/>
      <c r="P30" s="469"/>
      <c r="Q30" s="122"/>
      <c r="R30" s="464"/>
      <c r="S30" s="465"/>
      <c r="T30" s="122"/>
      <c r="U30" s="465"/>
      <c r="V30" s="466"/>
      <c r="W30" s="467"/>
      <c r="X30" s="467"/>
      <c r="Y30" s="467"/>
      <c r="Z30" s="467"/>
      <c r="AA30" s="467"/>
      <c r="AB30" s="467"/>
      <c r="AC30" s="467"/>
      <c r="AD30" s="467"/>
      <c r="AE30" s="468"/>
      <c r="AF30" s="122"/>
      <c r="AG30" s="472"/>
      <c r="AH30" s="12"/>
      <c r="AI30" s="12"/>
      <c r="AJ30" s="18"/>
      <c r="AL30" s="58" t="s">
        <v>206</v>
      </c>
      <c r="AM30" s="58">
        <v>0.8</v>
      </c>
      <c r="AO30" s="58">
        <v>10</v>
      </c>
      <c r="AP30" s="61">
        <f t="shared" si="1"/>
        <v>462</v>
      </c>
      <c r="AQ30" s="58">
        <f t="shared" si="2"/>
        <v>20.814769738727016</v>
      </c>
      <c r="AR30" s="58">
        <f t="shared" si="3"/>
        <v>20.981900408896891</v>
      </c>
      <c r="AS30" s="58">
        <f t="shared" si="0"/>
        <v>22</v>
      </c>
      <c r="AW30" s="58" t="s">
        <v>114</v>
      </c>
      <c r="AX30" s="58" t="s">
        <v>116</v>
      </c>
      <c r="AY30" s="58">
        <f>AY29*($BF$13^2/(2*9.81))</f>
        <v>0.35862351215574306</v>
      </c>
      <c r="BD30" s="58" t="s">
        <v>72</v>
      </c>
      <c r="BE30" s="58" t="s">
        <v>84</v>
      </c>
      <c r="BF30" s="61">
        <f>$I$25</f>
        <v>75</v>
      </c>
      <c r="BG30" s="59" t="s">
        <v>29</v>
      </c>
    </row>
    <row r="31" spans="2:59">
      <c r="B31" s="11"/>
      <c r="C31" s="12"/>
      <c r="D31" s="12"/>
      <c r="E31" s="163">
        <v>9</v>
      </c>
      <c r="F31" s="147"/>
      <c r="G31" s="462"/>
      <c r="H31" s="116"/>
      <c r="I31" s="128"/>
      <c r="J31" s="469"/>
      <c r="K31" s="115"/>
      <c r="L31" s="116"/>
      <c r="M31" s="115"/>
      <c r="N31" s="116"/>
      <c r="O31" s="128"/>
      <c r="P31" s="469"/>
      <c r="Q31" s="122"/>
      <c r="R31" s="464"/>
      <c r="S31" s="465"/>
      <c r="T31" s="122"/>
      <c r="U31" s="465"/>
      <c r="V31" s="466"/>
      <c r="W31" s="467"/>
      <c r="X31" s="467"/>
      <c r="Y31" s="467"/>
      <c r="Z31" s="467"/>
      <c r="AA31" s="467"/>
      <c r="AB31" s="467"/>
      <c r="AC31" s="467"/>
      <c r="AD31" s="467"/>
      <c r="AE31" s="468"/>
      <c r="AF31" s="122"/>
      <c r="AG31" s="472"/>
      <c r="AH31" s="12"/>
      <c r="AI31" s="12"/>
      <c r="AJ31" s="18"/>
      <c r="AL31" s="58" t="s">
        <v>205</v>
      </c>
      <c r="AM31" s="58">
        <v>1.2</v>
      </c>
      <c r="AO31" s="58">
        <v>11</v>
      </c>
      <c r="AP31" s="61">
        <f t="shared" si="1"/>
        <v>462</v>
      </c>
      <c r="AQ31" s="58">
        <f t="shared" si="2"/>
        <v>20.814769738727016</v>
      </c>
      <c r="AR31" s="58">
        <f t="shared" si="3"/>
        <v>20.981900408896891</v>
      </c>
      <c r="AS31" s="58">
        <f t="shared" si="0"/>
        <v>22</v>
      </c>
      <c r="AW31" s="58" t="s">
        <v>117</v>
      </c>
      <c r="AX31" s="58" t="s">
        <v>118</v>
      </c>
      <c r="AY31" s="58">
        <f>AY26+AY30</f>
        <v>14.329670135981026</v>
      </c>
      <c r="AZ31" s="58" t="s">
        <v>29</v>
      </c>
      <c r="BD31" s="58" t="s">
        <v>73</v>
      </c>
      <c r="BE31" s="58" t="s">
        <v>85</v>
      </c>
      <c r="BF31" s="61">
        <f>$O$25</f>
        <v>1</v>
      </c>
      <c r="BG31" s="59" t="s">
        <v>80</v>
      </c>
    </row>
    <row r="32" spans="2:59" ht="15" thickBot="1">
      <c r="B32" s="11"/>
      <c r="C32" s="12"/>
      <c r="D32" s="12"/>
      <c r="E32" s="165">
        <v>10</v>
      </c>
      <c r="F32" s="153"/>
      <c r="G32" s="460"/>
      <c r="H32" s="118"/>
      <c r="I32" s="107"/>
      <c r="J32" s="108"/>
      <c r="K32" s="117"/>
      <c r="L32" s="118"/>
      <c r="M32" s="117"/>
      <c r="N32" s="118"/>
      <c r="O32" s="107"/>
      <c r="P32" s="108"/>
      <c r="Q32" s="97"/>
      <c r="R32" s="119"/>
      <c r="S32" s="98"/>
      <c r="T32" s="97"/>
      <c r="U32" s="98"/>
      <c r="V32" s="293"/>
      <c r="W32" s="294"/>
      <c r="X32" s="294"/>
      <c r="Y32" s="294"/>
      <c r="Z32" s="294"/>
      <c r="AA32" s="294"/>
      <c r="AB32" s="294"/>
      <c r="AC32" s="294"/>
      <c r="AD32" s="294"/>
      <c r="AE32" s="295"/>
      <c r="AF32" s="97"/>
      <c r="AG32" s="310"/>
      <c r="AH32" s="12"/>
      <c r="AI32" s="12"/>
      <c r="AJ32" s="18"/>
      <c r="AL32" s="58" t="s">
        <v>204</v>
      </c>
      <c r="AM32" s="58">
        <v>0.8</v>
      </c>
      <c r="AQ32" s="58" t="s">
        <v>171</v>
      </c>
      <c r="AR32" s="58" t="s">
        <v>172</v>
      </c>
      <c r="AS32" s="58" t="s">
        <v>163</v>
      </c>
      <c r="AT32" s="58" t="s">
        <v>119</v>
      </c>
      <c r="AW32" s="58" t="s">
        <v>120</v>
      </c>
      <c r="AX32" s="58" t="s">
        <v>121</v>
      </c>
      <c r="AY32" s="58">
        <f>AY31+(IF($G$24="",$BF$13,$BF$23)^2/(2*9.81))</f>
        <v>14.601579415594136</v>
      </c>
      <c r="AZ32" s="58" t="s">
        <v>29</v>
      </c>
      <c r="BD32" s="58" t="s">
        <v>74</v>
      </c>
      <c r="BE32" s="58" t="s">
        <v>86</v>
      </c>
      <c r="BF32" s="60">
        <f>$K$25</f>
        <v>0.5</v>
      </c>
      <c r="BG32" s="59" t="s">
        <v>79</v>
      </c>
    </row>
    <row r="33" spans="2:59">
      <c r="B33" s="11"/>
      <c r="C33" s="12"/>
      <c r="D33" s="12"/>
      <c r="E33" s="12"/>
      <c r="F33" s="13"/>
      <c r="G33" s="20"/>
      <c r="H33" s="12"/>
      <c r="I33" s="12"/>
      <c r="J33" s="12"/>
      <c r="K33" s="12"/>
      <c r="L33" s="12"/>
      <c r="M33" s="12"/>
      <c r="N33" s="12"/>
      <c r="O33" s="12"/>
      <c r="P33" s="12"/>
      <c r="Q33" s="12"/>
      <c r="R33" s="12"/>
      <c r="S33" s="12"/>
      <c r="T33" s="12"/>
      <c r="U33" s="12"/>
      <c r="V33" s="12"/>
      <c r="W33" s="12"/>
      <c r="X33" s="12"/>
      <c r="Y33" s="12"/>
      <c r="Z33" s="12"/>
      <c r="AA33" s="12"/>
      <c r="AB33" s="12"/>
      <c r="AC33" s="12"/>
      <c r="AD33" s="12"/>
      <c r="AE33" s="16"/>
      <c r="AF33" s="17"/>
      <c r="AG33" s="12"/>
      <c r="AH33" s="12"/>
      <c r="AI33" s="12"/>
      <c r="AJ33" s="18"/>
      <c r="AL33" s="58" t="s">
        <v>203</v>
      </c>
      <c r="AM33" s="58">
        <v>0.35</v>
      </c>
      <c r="AO33" s="58">
        <v>1</v>
      </c>
      <c r="AP33" s="58">
        <f>AP21</f>
        <v>0</v>
      </c>
      <c r="AQ33" s="58">
        <f>Y18</f>
        <v>13</v>
      </c>
      <c r="AR33" s="60">
        <f>AQ33+G23</f>
        <v>13.6</v>
      </c>
      <c r="AS33" s="60">
        <f>AQ21</f>
        <v>12.95</v>
      </c>
      <c r="AT33" s="60">
        <f>AR21</f>
        <v>13.308623512155743</v>
      </c>
      <c r="BD33" s="58" t="s">
        <v>75</v>
      </c>
      <c r="BE33" s="58" t="s">
        <v>87</v>
      </c>
      <c r="BF33" s="58">
        <f>BF32/BF29</f>
        <v>3.1438013450250928</v>
      </c>
      <c r="BG33" s="59" t="s">
        <v>81</v>
      </c>
    </row>
    <row r="34" spans="2:59">
      <c r="B34" s="11"/>
      <c r="C34" s="12"/>
      <c r="D34" s="12"/>
      <c r="E34" s="12"/>
      <c r="F34" s="13"/>
      <c r="G34" s="20"/>
      <c r="H34" s="24" t="s">
        <v>161</v>
      </c>
      <c r="I34" s="19"/>
      <c r="J34" s="19"/>
      <c r="K34" s="19"/>
      <c r="L34" s="19"/>
      <c r="M34" s="19"/>
      <c r="N34" s="19"/>
      <c r="O34" s="19"/>
      <c r="P34" s="19"/>
      <c r="Q34" s="19"/>
      <c r="R34" s="19"/>
      <c r="S34" s="19"/>
      <c r="T34" s="19"/>
      <c r="U34" s="19"/>
      <c r="V34" s="12"/>
      <c r="W34" s="12"/>
      <c r="X34" s="12"/>
      <c r="Y34" s="12"/>
      <c r="Z34" s="12"/>
      <c r="AA34" s="12"/>
      <c r="AB34" s="12"/>
      <c r="AC34" s="12"/>
      <c r="AD34" s="12"/>
      <c r="AE34" s="16"/>
      <c r="AF34" s="17"/>
      <c r="AG34" s="12"/>
      <c r="AH34" s="12"/>
      <c r="AI34" s="12"/>
      <c r="AJ34" s="18"/>
      <c r="AL34" s="58" t="s">
        <v>202</v>
      </c>
      <c r="AM34" s="58">
        <v>0.4</v>
      </c>
      <c r="AP34" s="58">
        <f>AP33</f>
        <v>0</v>
      </c>
      <c r="AQ34" s="58">
        <f>AQ33</f>
        <v>13</v>
      </c>
      <c r="AR34" s="60">
        <f>AR33</f>
        <v>13.6</v>
      </c>
      <c r="AS34" s="60">
        <f>AS33</f>
        <v>12.95</v>
      </c>
      <c r="AT34" s="60">
        <f>AT33</f>
        <v>13.308623512155743</v>
      </c>
      <c r="AW34" s="58" t="s">
        <v>142</v>
      </c>
      <c r="BD34" s="58" t="s">
        <v>76</v>
      </c>
      <c r="BE34" s="58" t="s">
        <v>88</v>
      </c>
      <c r="BF34" s="63">
        <f>BF25+$T$24</f>
        <v>14.969999999999999</v>
      </c>
      <c r="BG34" s="59" t="s">
        <v>29</v>
      </c>
    </row>
    <row r="35" spans="2:59" ht="15" thickBot="1">
      <c r="B35" s="11"/>
      <c r="C35" s="12"/>
      <c r="D35" s="12"/>
      <c r="E35" s="12"/>
      <c r="F35" s="13"/>
      <c r="G35" s="20"/>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c r="AL35" s="58" t="s">
        <v>201</v>
      </c>
      <c r="AM35" s="58">
        <v>0.6</v>
      </c>
      <c r="AO35" s="58">
        <v>2</v>
      </c>
      <c r="AP35" s="58">
        <f>AP22</f>
        <v>87</v>
      </c>
      <c r="AQ35" s="58">
        <f>AQ34+I23*O23%</f>
        <v>13.87</v>
      </c>
      <c r="AR35" s="60">
        <f>AQ35+G24</f>
        <v>14.395</v>
      </c>
      <c r="AS35" s="58">
        <f>IF(G23="",AS34,M39-K39)</f>
        <v>13.971046623825282</v>
      </c>
      <c r="AT35" s="58">
        <f>IF(G23="",AT34,P39-K39)</f>
        <v>14.242955903438393</v>
      </c>
      <c r="AW35" s="58" t="s">
        <v>123</v>
      </c>
      <c r="AX35" s="58" t="s">
        <v>124</v>
      </c>
      <c r="AY35" s="60">
        <f>$M$24*10^-3</f>
        <v>5.9999999999999995E-4</v>
      </c>
      <c r="AZ35" s="58" t="s">
        <v>64</v>
      </c>
      <c r="BD35" s="58" t="s">
        <v>77</v>
      </c>
      <c r="BE35" s="58" t="s">
        <v>89</v>
      </c>
      <c r="BF35" s="58">
        <f>BF34+BF30*BF31%</f>
        <v>15.719999999999999</v>
      </c>
      <c r="BG35" s="59" t="s">
        <v>29</v>
      </c>
    </row>
    <row r="36" spans="2:59">
      <c r="B36" s="11"/>
      <c r="C36" s="12"/>
      <c r="D36" s="12"/>
      <c r="E36" s="12"/>
      <c r="F36" s="13"/>
      <c r="G36" s="20"/>
      <c r="H36" s="270" t="s">
        <v>160</v>
      </c>
      <c r="I36" s="341"/>
      <c r="J36" s="271"/>
      <c r="K36" s="317" t="s">
        <v>162</v>
      </c>
      <c r="L36" s="304"/>
      <c r="M36" s="109" t="s">
        <v>163</v>
      </c>
      <c r="N36" s="110"/>
      <c r="O36" s="111"/>
      <c r="P36" s="109" t="s">
        <v>119</v>
      </c>
      <c r="Q36" s="110"/>
      <c r="R36" s="111"/>
      <c r="S36" s="257" t="s">
        <v>43</v>
      </c>
      <c r="T36" s="313"/>
      <c r="U36" s="258"/>
      <c r="V36" s="20"/>
      <c r="W36" s="12"/>
      <c r="X36" s="12"/>
      <c r="Y36" s="12"/>
      <c r="Z36" s="12"/>
      <c r="AA36" s="12"/>
      <c r="AB36" s="12"/>
      <c r="AC36" s="12"/>
      <c r="AD36" s="12"/>
      <c r="AE36" s="16"/>
      <c r="AF36" s="17"/>
      <c r="AG36" s="12"/>
      <c r="AH36" s="12"/>
      <c r="AI36" s="12"/>
      <c r="AJ36" s="18"/>
      <c r="AL36" s="58" t="s">
        <v>200</v>
      </c>
      <c r="AM36" s="58">
        <v>0.8</v>
      </c>
      <c r="AP36" s="58">
        <f>AP35</f>
        <v>87</v>
      </c>
      <c r="AQ36" s="63">
        <f>AQ35+T23</f>
        <v>13.969999999999999</v>
      </c>
      <c r="AR36" s="60">
        <f>AR35+T23</f>
        <v>14.494999999999999</v>
      </c>
      <c r="AS36" s="58">
        <f>IF(G23="",AS35,M39)</f>
        <v>14.329670135981026</v>
      </c>
      <c r="AT36" s="58">
        <f>IF(G23="",AT35,P39)</f>
        <v>14.601579415594136</v>
      </c>
      <c r="AW36" s="58" t="s">
        <v>125</v>
      </c>
      <c r="AX36" s="58" t="s">
        <v>126</v>
      </c>
      <c r="AY36" s="58">
        <f>1.31*10^-6</f>
        <v>1.31E-6</v>
      </c>
      <c r="AZ36" s="58" t="s">
        <v>139</v>
      </c>
    </row>
    <row r="37" spans="2:59" ht="15" thickBot="1">
      <c r="B37" s="11"/>
      <c r="C37" s="12"/>
      <c r="D37" s="12"/>
      <c r="E37" s="12"/>
      <c r="F37" s="13"/>
      <c r="G37" s="20"/>
      <c r="H37" s="272"/>
      <c r="I37" s="342"/>
      <c r="J37" s="273"/>
      <c r="K37" s="312"/>
      <c r="L37" s="305"/>
      <c r="M37" s="112"/>
      <c r="N37" s="113"/>
      <c r="O37" s="114"/>
      <c r="P37" s="112"/>
      <c r="Q37" s="113"/>
      <c r="R37" s="114"/>
      <c r="S37" s="259"/>
      <c r="T37" s="312"/>
      <c r="U37" s="260"/>
      <c r="V37" s="20"/>
      <c r="W37" s="12"/>
      <c r="X37" s="12"/>
      <c r="Y37" s="12"/>
      <c r="Z37" s="12"/>
      <c r="AA37" s="12"/>
      <c r="AB37" s="12"/>
      <c r="AC37" s="12"/>
      <c r="AD37" s="12"/>
      <c r="AE37" s="16"/>
      <c r="AF37" s="17"/>
      <c r="AG37" s="12"/>
      <c r="AH37" s="12"/>
      <c r="AI37" s="12"/>
      <c r="AJ37" s="18"/>
      <c r="AL37" s="58" t="s">
        <v>199</v>
      </c>
      <c r="AM37" s="58">
        <v>0.4</v>
      </c>
      <c r="AO37" s="58">
        <v>3</v>
      </c>
      <c r="AP37" s="58">
        <f>AP23</f>
        <v>187</v>
      </c>
      <c r="AQ37" s="58">
        <f>AQ36+I24*O24%</f>
        <v>14.77</v>
      </c>
      <c r="AR37" s="60">
        <f>AQ37+G25</f>
        <v>15.219999999999999</v>
      </c>
      <c r="AS37" s="58">
        <f>IF(G24="",AS36,M40-K40)</f>
        <v>15.380507447590777</v>
      </c>
      <c r="AT37" s="58">
        <f>IF(G24="",AT36,P40-K40)</f>
        <v>15.88425295712093</v>
      </c>
      <c r="AW37" s="58" t="s">
        <v>127</v>
      </c>
      <c r="AX37" s="58" t="s">
        <v>128</v>
      </c>
      <c r="AY37" s="58">
        <f>($BF$23*$BF$18/AY36)</f>
        <v>925655.79406409524</v>
      </c>
      <c r="BD37" s="58" t="s">
        <v>92</v>
      </c>
    </row>
    <row r="38" spans="2:59">
      <c r="B38" s="11"/>
      <c r="C38" s="12"/>
      <c r="D38" s="12"/>
      <c r="E38" s="12"/>
      <c r="F38" s="13"/>
      <c r="G38" s="20"/>
      <c r="H38" s="223">
        <v>1</v>
      </c>
      <c r="I38" s="238"/>
      <c r="J38" s="224"/>
      <c r="K38" s="99">
        <f>IF(Y19="","",AY14)</f>
        <v>0.35862351215574306</v>
      </c>
      <c r="L38" s="100"/>
      <c r="M38" s="325">
        <f>IF(Y19="","",AY15)</f>
        <v>12.95</v>
      </c>
      <c r="N38" s="326"/>
      <c r="O38" s="327"/>
      <c r="P38" s="325">
        <f>IF(Y19="","",AY16)</f>
        <v>13.308623512155743</v>
      </c>
      <c r="Q38" s="326"/>
      <c r="R38" s="327"/>
      <c r="S38" s="325">
        <f>IF(Y19="","",Y19)</f>
        <v>15</v>
      </c>
      <c r="T38" s="326"/>
      <c r="U38" s="328"/>
      <c r="V38" s="20"/>
      <c r="W38" s="12"/>
      <c r="X38" s="12"/>
      <c r="Y38" s="12"/>
      <c r="Z38" s="12"/>
      <c r="AA38" s="12"/>
      <c r="AB38" s="12"/>
      <c r="AC38" s="12"/>
      <c r="AD38" s="12"/>
      <c r="AE38" s="16"/>
      <c r="AF38" s="314" t="str">
        <f>IF(K38="","",IF(M38&lt;S38-Y11,"Acceptable","HGL Too High"))</f>
        <v>Acceptable</v>
      </c>
      <c r="AG38" s="332"/>
      <c r="AH38" s="332"/>
      <c r="AI38" s="332"/>
      <c r="AJ38" s="333"/>
      <c r="AL38" s="58" t="s">
        <v>198</v>
      </c>
      <c r="AM38" s="58">
        <v>0.6</v>
      </c>
      <c r="AP38" s="58">
        <f>AP37</f>
        <v>187</v>
      </c>
      <c r="AQ38" s="63">
        <f>AQ37+T24</f>
        <v>14.969999999999999</v>
      </c>
      <c r="AR38" s="60">
        <f>AR37+T24</f>
        <v>15.419999999999998</v>
      </c>
      <c r="AS38" s="58">
        <f>IF(G24="",AS37,M40)</f>
        <v>15.652416727203887</v>
      </c>
      <c r="AT38" s="58">
        <f>IF(G24="",AT37,P40)</f>
        <v>16.156162236734041</v>
      </c>
      <c r="AW38" s="58" t="s">
        <v>129</v>
      </c>
      <c r="AX38" s="58" t="s">
        <v>130</v>
      </c>
      <c r="AY38" s="58">
        <f>(1/(-2*LOG10((AY35/(3.7*$BF$18)))+(5.1286/AY37^0.89)))^2</f>
        <v>2.0289472627785937E-2</v>
      </c>
      <c r="AZ38" s="62"/>
      <c r="BD38" s="58" t="s">
        <v>70</v>
      </c>
      <c r="BE38" s="58" t="s">
        <v>82</v>
      </c>
      <c r="BF38" s="60">
        <f>$G$26</f>
        <v>0.375</v>
      </c>
      <c r="BG38" s="59" t="s">
        <v>29</v>
      </c>
    </row>
    <row r="39" spans="2:59">
      <c r="B39" s="11"/>
      <c r="C39" s="12"/>
      <c r="D39" s="12"/>
      <c r="E39" s="12"/>
      <c r="F39" s="13"/>
      <c r="G39" s="20"/>
      <c r="H39" s="163">
        <v>2</v>
      </c>
      <c r="I39" s="146"/>
      <c r="J39" s="147"/>
      <c r="K39" s="101">
        <f>IF(G23="","",AY30)</f>
        <v>0.35862351215574306</v>
      </c>
      <c r="L39" s="102"/>
      <c r="M39" s="103">
        <f>IF(G23="","",AY31)</f>
        <v>14.329670135981026</v>
      </c>
      <c r="N39" s="104"/>
      <c r="O39" s="105"/>
      <c r="P39" s="103">
        <f>IF(G23="","",AY32)</f>
        <v>14.601579415594136</v>
      </c>
      <c r="Q39" s="104"/>
      <c r="R39" s="105"/>
      <c r="S39" s="103">
        <f t="shared" ref="S39:S48" si="4">IF(G23="","",Q23)</f>
        <v>17</v>
      </c>
      <c r="T39" s="104"/>
      <c r="U39" s="106"/>
      <c r="V39" s="20"/>
      <c r="W39" s="12"/>
      <c r="X39" s="12"/>
      <c r="Y39" s="12"/>
      <c r="Z39" s="12"/>
      <c r="AA39" s="12"/>
      <c r="AB39" s="12"/>
      <c r="AC39" s="12"/>
      <c r="AD39" s="12"/>
      <c r="AE39" s="16"/>
      <c r="AF39" s="314" t="str">
        <f t="shared" ref="AF39:AF48" si="5">IF(K39="","",IF(M39&lt;S39-$Y$11,"Acceptable","HGL Too High"))</f>
        <v>Acceptable</v>
      </c>
      <c r="AG39" s="315"/>
      <c r="AH39" s="315"/>
      <c r="AI39" s="315"/>
      <c r="AJ39" s="316"/>
      <c r="AL39" s="58" t="s">
        <v>197</v>
      </c>
      <c r="AM39" s="58">
        <v>0.8</v>
      </c>
      <c r="AO39" s="58">
        <v>4</v>
      </c>
      <c r="AP39" s="58">
        <f>AP24</f>
        <v>262</v>
      </c>
      <c r="AQ39" s="58">
        <f>AQ38+I25*O25%</f>
        <v>15.719999999999999</v>
      </c>
      <c r="AR39" s="60">
        <f>AQ39+G26</f>
        <v>16.094999999999999</v>
      </c>
      <c r="AS39" s="58">
        <f>IF(G25="",AS38,M41-K41)</f>
        <v>17.422757193053883</v>
      </c>
      <c r="AT39" s="58">
        <f>IF(G25="",AT38,P41-K41)</f>
        <v>17.589887863223758</v>
      </c>
      <c r="AW39" s="58" t="s">
        <v>131</v>
      </c>
      <c r="AX39" s="58" t="s">
        <v>132</v>
      </c>
      <c r="AY39" s="58">
        <f>AY38*$BF$23^2/(2*9.81*$BF$18)</f>
        <v>1.0508373116097503E-2</v>
      </c>
      <c r="AZ39" s="58" t="s">
        <v>29</v>
      </c>
      <c r="BD39" s="58" t="s">
        <v>71</v>
      </c>
      <c r="BE39" s="58" t="s">
        <v>83</v>
      </c>
      <c r="BF39" s="58">
        <f>PI()*(BF38/2)^2</f>
        <v>0.11044661672776616</v>
      </c>
      <c r="BG39" s="59" t="s">
        <v>78</v>
      </c>
    </row>
    <row r="40" spans="2:59">
      <c r="B40" s="11"/>
      <c r="C40" s="12"/>
      <c r="D40" s="12"/>
      <c r="E40" s="12"/>
      <c r="F40" s="13"/>
      <c r="G40" s="20"/>
      <c r="H40" s="163">
        <v>3</v>
      </c>
      <c r="I40" s="146"/>
      <c r="J40" s="147"/>
      <c r="K40" s="101">
        <f>IF(G24="","",AY46)</f>
        <v>0.27190927961311007</v>
      </c>
      <c r="L40" s="102"/>
      <c r="M40" s="103">
        <f>IF(G24="","",AY47)</f>
        <v>15.652416727203887</v>
      </c>
      <c r="N40" s="104"/>
      <c r="O40" s="105"/>
      <c r="P40" s="103">
        <f>IF(G24="","",AY48)</f>
        <v>16.156162236734041</v>
      </c>
      <c r="Q40" s="104"/>
      <c r="R40" s="105"/>
      <c r="S40" s="103">
        <f t="shared" si="4"/>
        <v>18</v>
      </c>
      <c r="T40" s="104"/>
      <c r="U40" s="106"/>
      <c r="V40" s="20"/>
      <c r="W40" s="12"/>
      <c r="X40" s="12"/>
      <c r="Y40" s="12"/>
      <c r="Z40" s="12"/>
      <c r="AA40" s="12"/>
      <c r="AB40" s="12"/>
      <c r="AC40" s="12"/>
      <c r="AD40" s="12"/>
      <c r="AE40" s="16"/>
      <c r="AF40" s="314" t="str">
        <f t="shared" si="5"/>
        <v>Acceptable</v>
      </c>
      <c r="AG40" s="315"/>
      <c r="AH40" s="315"/>
      <c r="AI40" s="315"/>
      <c r="AJ40" s="316"/>
      <c r="AL40" s="58" t="s">
        <v>196</v>
      </c>
      <c r="AM40" s="58">
        <v>0.15</v>
      </c>
      <c r="AP40" s="58">
        <f>AP39</f>
        <v>262</v>
      </c>
      <c r="AQ40" s="63">
        <f>AQ39+T25</f>
        <v>15.819999999999999</v>
      </c>
      <c r="AR40" s="60">
        <f>AR39+T25</f>
        <v>16.195</v>
      </c>
      <c r="AS40" s="58">
        <f>IF(G25="",AS39,M41)</f>
        <v>17.926502702584035</v>
      </c>
      <c r="AT40" s="58">
        <f>IF(G25="",AT39,P41)</f>
        <v>18.09363337275391</v>
      </c>
      <c r="AW40" s="58" t="s">
        <v>133</v>
      </c>
      <c r="AX40" s="58" t="s">
        <v>134</v>
      </c>
      <c r="AY40" s="58">
        <f>AY39*$BF$20</f>
        <v>1.0508373116097502</v>
      </c>
      <c r="AZ40" s="58" t="s">
        <v>29</v>
      </c>
      <c r="BD40" s="58" t="s">
        <v>72</v>
      </c>
      <c r="BE40" s="58" t="s">
        <v>84</v>
      </c>
      <c r="BF40" s="61">
        <f>$I$26</f>
        <v>50</v>
      </c>
      <c r="BG40" s="59" t="s">
        <v>29</v>
      </c>
    </row>
    <row r="41" spans="2:59">
      <c r="B41" s="11"/>
      <c r="C41" s="12"/>
      <c r="D41" s="12"/>
      <c r="E41" s="12"/>
      <c r="F41" s="13"/>
      <c r="G41" s="20"/>
      <c r="H41" s="163">
        <v>4</v>
      </c>
      <c r="I41" s="146"/>
      <c r="J41" s="147"/>
      <c r="K41" s="101">
        <f>IF(G25="","",AY62)</f>
        <v>0.50374550953015196</v>
      </c>
      <c r="L41" s="102"/>
      <c r="M41" s="103">
        <f>IF(G25="","",AY63)</f>
        <v>17.926502702584035</v>
      </c>
      <c r="N41" s="104"/>
      <c r="O41" s="105"/>
      <c r="P41" s="103">
        <f>IF(G25="","",AY64)</f>
        <v>18.09363337275391</v>
      </c>
      <c r="Q41" s="104"/>
      <c r="R41" s="105"/>
      <c r="S41" s="103">
        <f t="shared" si="4"/>
        <v>18.5</v>
      </c>
      <c r="T41" s="104"/>
      <c r="U41" s="106"/>
      <c r="V41" s="20"/>
      <c r="W41" s="12"/>
      <c r="X41" s="12"/>
      <c r="Y41" s="12"/>
      <c r="Z41" s="12"/>
      <c r="AA41" s="12"/>
      <c r="AB41" s="12"/>
      <c r="AC41" s="12"/>
      <c r="AD41" s="12"/>
      <c r="AE41" s="16"/>
      <c r="AF41" s="314" t="str">
        <f t="shared" si="5"/>
        <v>Acceptable</v>
      </c>
      <c r="AG41" s="315"/>
      <c r="AH41" s="315"/>
      <c r="AI41" s="315"/>
      <c r="AJ41" s="316"/>
      <c r="AL41" s="58" t="s">
        <v>195</v>
      </c>
      <c r="AM41" s="58">
        <v>0.2</v>
      </c>
      <c r="AO41" s="58">
        <v>5</v>
      </c>
      <c r="AP41" s="58">
        <f>AP25</f>
        <v>312</v>
      </c>
      <c r="AQ41" s="58">
        <f>AQ40+I26*O26%</f>
        <v>16.82</v>
      </c>
      <c r="AR41" s="60">
        <f>AQ41+G27</f>
        <v>17.195</v>
      </c>
      <c r="AS41" s="58">
        <f>IF(G26="",AS40,M42-K42)</f>
        <v>18.418764790136201</v>
      </c>
      <c r="AT41" s="58">
        <f>IF(G26="",AT40,P42-K42)</f>
        <v>18.585895460306077</v>
      </c>
      <c r="AW41" s="58" t="s">
        <v>135</v>
      </c>
      <c r="AX41" s="58" t="s">
        <v>136</v>
      </c>
      <c r="AY41" s="58">
        <f>AY32+AY40</f>
        <v>15.652416727203887</v>
      </c>
      <c r="AZ41" s="58" t="s">
        <v>29</v>
      </c>
      <c r="BD41" s="58" t="s">
        <v>73</v>
      </c>
      <c r="BE41" s="58" t="s">
        <v>85</v>
      </c>
      <c r="BF41" s="61">
        <f>$O$26</f>
        <v>2</v>
      </c>
      <c r="BG41" s="59" t="s">
        <v>80</v>
      </c>
    </row>
    <row r="42" spans="2:59">
      <c r="B42" s="11"/>
      <c r="C42" s="12"/>
      <c r="D42" s="12"/>
      <c r="E42" s="12"/>
      <c r="F42" s="13"/>
      <c r="G42" s="20"/>
      <c r="H42" s="163">
        <v>5</v>
      </c>
      <c r="I42" s="146"/>
      <c r="J42" s="147"/>
      <c r="K42" s="101">
        <f>IF(G26="","",AY78)</f>
        <v>0.41782667542468943</v>
      </c>
      <c r="L42" s="102"/>
      <c r="M42" s="103">
        <f>IF(G26="","",AY79)</f>
        <v>18.83659146556089</v>
      </c>
      <c r="N42" s="104"/>
      <c r="O42" s="105"/>
      <c r="P42" s="103">
        <f>IF(G26="","",AY80)</f>
        <v>19.003722135730765</v>
      </c>
      <c r="Q42" s="104"/>
      <c r="R42" s="105"/>
      <c r="S42" s="103">
        <f t="shared" si="4"/>
        <v>19</v>
      </c>
      <c r="T42" s="104"/>
      <c r="U42" s="106"/>
      <c r="V42" s="20"/>
      <c r="W42" s="12"/>
      <c r="X42" s="12"/>
      <c r="Y42" s="12"/>
      <c r="Z42" s="12"/>
      <c r="AA42" s="12"/>
      <c r="AB42" s="12"/>
      <c r="AC42" s="12"/>
      <c r="AD42" s="12"/>
      <c r="AE42" s="16"/>
      <c r="AF42" s="314" t="str">
        <f t="shared" si="5"/>
        <v>Acceptable</v>
      </c>
      <c r="AG42" s="315"/>
      <c r="AH42" s="315"/>
      <c r="AI42" s="315"/>
      <c r="AJ42" s="316"/>
      <c r="AL42" s="58" t="s">
        <v>194</v>
      </c>
      <c r="AM42" s="58">
        <v>0.35</v>
      </c>
      <c r="AP42" s="58">
        <f>AP41</f>
        <v>312</v>
      </c>
      <c r="AQ42" s="63">
        <f>AQ41+T26</f>
        <v>16.97</v>
      </c>
      <c r="AR42" s="60">
        <f>AR41+T26</f>
        <v>17.344999999999999</v>
      </c>
      <c r="AS42" s="58">
        <f>IF(G26="",AS41,M42)</f>
        <v>18.83659146556089</v>
      </c>
      <c r="AT42" s="58">
        <f>IF(G26="",AT41,P42)</f>
        <v>19.003722135730765</v>
      </c>
      <c r="AW42" s="58" t="s">
        <v>137</v>
      </c>
      <c r="AX42" s="58" t="s">
        <v>138</v>
      </c>
      <c r="AY42" s="58">
        <f>AY41-$BF$23^2/(2*9.81)</f>
        <v>15.380507447590777</v>
      </c>
      <c r="AZ42" s="58" t="s">
        <v>29</v>
      </c>
      <c r="BD42" s="58" t="s">
        <v>74</v>
      </c>
      <c r="BE42" s="58" t="s">
        <v>86</v>
      </c>
      <c r="BF42" s="60">
        <f>$K$26</f>
        <v>0.2</v>
      </c>
      <c r="BG42" s="59" t="s">
        <v>79</v>
      </c>
    </row>
    <row r="43" spans="2:59">
      <c r="B43" s="11"/>
      <c r="C43" s="12"/>
      <c r="D43" s="12"/>
      <c r="E43" s="12"/>
      <c r="F43" s="13"/>
      <c r="G43" s="20"/>
      <c r="H43" s="163">
        <v>6</v>
      </c>
      <c r="I43" s="146"/>
      <c r="J43" s="147"/>
      <c r="K43" s="101">
        <f>IF(G27="","",AY94)</f>
        <v>0.16713067016987576</v>
      </c>
      <c r="L43" s="102"/>
      <c r="M43" s="103">
        <f>IF(G27="","",AY95)</f>
        <v>19.495984223282932</v>
      </c>
      <c r="N43" s="104"/>
      <c r="O43" s="105"/>
      <c r="P43" s="103">
        <f>IF(G27="","",AY96)</f>
        <v>19.663114893452807</v>
      </c>
      <c r="Q43" s="104"/>
      <c r="R43" s="105"/>
      <c r="S43" s="103">
        <f t="shared" si="4"/>
        <v>20</v>
      </c>
      <c r="T43" s="104"/>
      <c r="U43" s="106"/>
      <c r="V43" s="20"/>
      <c r="W43" s="12"/>
      <c r="X43" s="12"/>
      <c r="Y43" s="12"/>
      <c r="Z43" s="12"/>
      <c r="AA43" s="12"/>
      <c r="AB43" s="12"/>
      <c r="AC43" s="12"/>
      <c r="AD43" s="12"/>
      <c r="AE43" s="16"/>
      <c r="AF43" s="314" t="str">
        <f t="shared" si="5"/>
        <v>Acceptable</v>
      </c>
      <c r="AG43" s="315"/>
      <c r="AH43" s="315"/>
      <c r="AI43" s="315"/>
      <c r="AJ43" s="316"/>
      <c r="AL43" s="58" t="s">
        <v>193</v>
      </c>
      <c r="AM43" s="58">
        <v>0.6</v>
      </c>
      <c r="AO43" s="58">
        <v>6</v>
      </c>
      <c r="AP43" s="58">
        <f>AP26</f>
        <v>362</v>
      </c>
      <c r="AQ43" s="58">
        <f>AQ42+I27*O27%</f>
        <v>18.47</v>
      </c>
      <c r="AR43" s="60">
        <f>AQ43+G28</f>
        <v>18.844999999999999</v>
      </c>
      <c r="AS43" s="58">
        <f>IF(G27="",AS42,M43-K43)</f>
        <v>19.328853553113056</v>
      </c>
      <c r="AT43" s="58">
        <f>IF(G27="",AT42,P43-K43)</f>
        <v>19.495984223282932</v>
      </c>
      <c r="BD43" s="58" t="s">
        <v>75</v>
      </c>
      <c r="BE43" s="58" t="s">
        <v>87</v>
      </c>
      <c r="BF43" s="58">
        <f>BF42/BF39</f>
        <v>1.8108295747344538</v>
      </c>
      <c r="BG43" s="59" t="s">
        <v>81</v>
      </c>
    </row>
    <row r="44" spans="2:59">
      <c r="B44" s="11"/>
      <c r="C44" s="12"/>
      <c r="D44" s="12"/>
      <c r="E44" s="12"/>
      <c r="F44" s="13"/>
      <c r="G44" s="20"/>
      <c r="H44" s="163">
        <v>7</v>
      </c>
      <c r="I44" s="146"/>
      <c r="J44" s="147"/>
      <c r="K44" s="101">
        <f>IF(G28="","",AY110)</f>
        <v>0.16713067016987576</v>
      </c>
      <c r="L44" s="102"/>
      <c r="M44" s="103">
        <f>IF(G28="","",AY111)</f>
        <v>20.155376981004974</v>
      </c>
      <c r="N44" s="104"/>
      <c r="O44" s="105"/>
      <c r="P44" s="103">
        <f>IF(G28="","",AY112)</f>
        <v>20.322507651174849</v>
      </c>
      <c r="Q44" s="104"/>
      <c r="R44" s="105"/>
      <c r="S44" s="103">
        <f t="shared" si="4"/>
        <v>21</v>
      </c>
      <c r="T44" s="104"/>
      <c r="U44" s="106"/>
      <c r="V44" s="20"/>
      <c r="W44" s="12"/>
      <c r="X44" s="12"/>
      <c r="Y44" s="12"/>
      <c r="Z44" s="12"/>
      <c r="AA44" s="12"/>
      <c r="AB44" s="12"/>
      <c r="AC44" s="12"/>
      <c r="AD44" s="12"/>
      <c r="AE44" s="16"/>
      <c r="AF44" s="314" t="str">
        <f t="shared" si="5"/>
        <v>Acceptable</v>
      </c>
      <c r="AG44" s="315"/>
      <c r="AH44" s="315"/>
      <c r="AI44" s="315"/>
      <c r="AJ44" s="316"/>
      <c r="AL44" s="58" t="s">
        <v>192</v>
      </c>
      <c r="AM44" s="58">
        <v>0.8</v>
      </c>
      <c r="AP44" s="58">
        <f>AP43</f>
        <v>362</v>
      </c>
      <c r="AQ44" s="63">
        <f>AQ43+T27</f>
        <v>18.57</v>
      </c>
      <c r="AR44" s="60">
        <f>AR43+T27</f>
        <v>18.945</v>
      </c>
      <c r="AS44" s="58">
        <f>IF(G27="",AS43,M43)</f>
        <v>19.495984223282932</v>
      </c>
      <c r="AT44" s="58">
        <f>IF(G27="",AT43,P43)</f>
        <v>19.663114893452807</v>
      </c>
      <c r="AW44" s="58" t="s">
        <v>143</v>
      </c>
      <c r="BD44" s="58" t="s">
        <v>76</v>
      </c>
      <c r="BE44" s="58" t="s">
        <v>88</v>
      </c>
      <c r="BF44" s="63">
        <f>BF35+$T$25</f>
        <v>15.819999999999999</v>
      </c>
      <c r="BG44" s="59" t="s">
        <v>29</v>
      </c>
    </row>
    <row r="45" spans="2:59">
      <c r="B45" s="11"/>
      <c r="C45" s="12"/>
      <c r="D45" s="12"/>
      <c r="E45" s="12"/>
      <c r="F45" s="13"/>
      <c r="G45" s="20"/>
      <c r="H45" s="163">
        <v>8</v>
      </c>
      <c r="I45" s="146"/>
      <c r="J45" s="147"/>
      <c r="K45" s="101">
        <f>IF(G29="","",AY126)</f>
        <v>0.16713067016987576</v>
      </c>
      <c r="L45" s="102"/>
      <c r="M45" s="103">
        <f>IF(G29="","",AY127)</f>
        <v>20.814769738727016</v>
      </c>
      <c r="N45" s="104"/>
      <c r="O45" s="105"/>
      <c r="P45" s="103">
        <f>IF(G29="","",AY128)</f>
        <v>20.981900408896891</v>
      </c>
      <c r="Q45" s="104"/>
      <c r="R45" s="105"/>
      <c r="S45" s="103">
        <f t="shared" si="4"/>
        <v>22</v>
      </c>
      <c r="T45" s="104"/>
      <c r="U45" s="106"/>
      <c r="V45" s="20"/>
      <c r="W45" s="12"/>
      <c r="X45" s="12"/>
      <c r="Y45" s="12"/>
      <c r="Z45" s="12"/>
      <c r="AA45" s="12"/>
      <c r="AB45" s="12"/>
      <c r="AC45" s="12"/>
      <c r="AD45" s="12"/>
      <c r="AE45" s="16"/>
      <c r="AF45" s="314" t="str">
        <f t="shared" si="5"/>
        <v>Acceptable</v>
      </c>
      <c r="AG45" s="315"/>
      <c r="AH45" s="315"/>
      <c r="AI45" s="315"/>
      <c r="AJ45" s="316"/>
      <c r="AL45" s="58" t="s">
        <v>191</v>
      </c>
      <c r="AM45" s="58">
        <v>1</v>
      </c>
      <c r="AO45" s="58">
        <v>7</v>
      </c>
      <c r="AP45" s="58">
        <f>AP27</f>
        <v>412</v>
      </c>
      <c r="AQ45" s="58">
        <f>AQ44+I28*O28%</f>
        <v>19.07</v>
      </c>
      <c r="AR45" s="60">
        <f>AQ45+G29</f>
        <v>19.445</v>
      </c>
      <c r="AS45" s="58">
        <f>IF(G28="",AS44,M44-K44)</f>
        <v>19.988246310835098</v>
      </c>
      <c r="AT45" s="58">
        <f>IF(G28="",AT44,P44-K44)</f>
        <v>20.155376981004974</v>
      </c>
      <c r="AW45" s="58" t="s">
        <v>113</v>
      </c>
      <c r="AX45" s="58" t="s">
        <v>115</v>
      </c>
      <c r="AY45" s="63">
        <f>$AF$24</f>
        <v>1</v>
      </c>
      <c r="BD45" s="58" t="s">
        <v>77</v>
      </c>
      <c r="BE45" s="58" t="s">
        <v>89</v>
      </c>
      <c r="BF45" s="58">
        <f>BF44+BF40*BF41%</f>
        <v>16.82</v>
      </c>
      <c r="BG45" s="59" t="s">
        <v>29</v>
      </c>
    </row>
    <row r="46" spans="2:59">
      <c r="B46" s="11"/>
      <c r="C46" s="12"/>
      <c r="D46" s="12"/>
      <c r="E46" s="12"/>
      <c r="F46" s="13"/>
      <c r="G46" s="20"/>
      <c r="H46" s="163">
        <v>9</v>
      </c>
      <c r="I46" s="146"/>
      <c r="J46" s="147"/>
      <c r="K46" s="101" t="str">
        <f>IF(G30="","",AY142)</f>
        <v/>
      </c>
      <c r="L46" s="102"/>
      <c r="M46" s="103" t="str">
        <f>IF(G30="","",AY143)</f>
        <v/>
      </c>
      <c r="N46" s="104"/>
      <c r="O46" s="105"/>
      <c r="P46" s="103" t="str">
        <f>IF(G30="","",AY144)</f>
        <v/>
      </c>
      <c r="Q46" s="104"/>
      <c r="R46" s="105"/>
      <c r="S46" s="103" t="str">
        <f t="shared" si="4"/>
        <v/>
      </c>
      <c r="T46" s="362"/>
      <c r="U46" s="363"/>
      <c r="V46" s="20"/>
      <c r="W46" s="12"/>
      <c r="X46" s="12"/>
      <c r="Y46" s="12"/>
      <c r="Z46" s="12"/>
      <c r="AA46" s="12"/>
      <c r="AB46" s="12"/>
      <c r="AC46" s="12"/>
      <c r="AD46" s="12"/>
      <c r="AE46" s="16"/>
      <c r="AF46" s="314" t="str">
        <f t="shared" si="5"/>
        <v/>
      </c>
      <c r="AG46" s="315"/>
      <c r="AH46" s="315"/>
      <c r="AI46" s="315"/>
      <c r="AJ46" s="316"/>
      <c r="AL46" s="58" t="s">
        <v>190</v>
      </c>
      <c r="AM46" s="58">
        <v>0.15</v>
      </c>
      <c r="AP46" s="58">
        <f>AP45</f>
        <v>412</v>
      </c>
      <c r="AQ46" s="63">
        <f>AQ45+T28</f>
        <v>19.170000000000002</v>
      </c>
      <c r="AR46" s="60">
        <f>AR45+T28</f>
        <v>19.545000000000002</v>
      </c>
      <c r="AS46" s="58">
        <f>IF(G28="",AS45,M44)</f>
        <v>20.155376981004974</v>
      </c>
      <c r="AT46" s="58">
        <f>IF(G28="",AT45,P44)</f>
        <v>20.322507651174849</v>
      </c>
      <c r="AW46" s="58" t="s">
        <v>114</v>
      </c>
      <c r="AX46" s="58" t="s">
        <v>116</v>
      </c>
      <c r="AY46" s="58">
        <f>AY45*($BF$23^2/(2*9.81))</f>
        <v>0.27190927961311007</v>
      </c>
    </row>
    <row r="47" spans="2:59">
      <c r="B47" s="11"/>
      <c r="C47" s="12"/>
      <c r="D47" s="12"/>
      <c r="E47" s="12"/>
      <c r="F47" s="13"/>
      <c r="G47" s="20"/>
      <c r="H47" s="163">
        <v>10</v>
      </c>
      <c r="I47" s="146"/>
      <c r="J47" s="147"/>
      <c r="K47" s="101" t="str">
        <f>IF(G31="","",AY158)</f>
        <v/>
      </c>
      <c r="L47" s="102"/>
      <c r="M47" s="103" t="str">
        <f>IF(G31="","",AY159)</f>
        <v/>
      </c>
      <c r="N47" s="104"/>
      <c r="O47" s="105"/>
      <c r="P47" s="103" t="str">
        <f>IF(G31="","",AY160)</f>
        <v/>
      </c>
      <c r="Q47" s="104"/>
      <c r="R47" s="105"/>
      <c r="S47" s="103" t="str">
        <f t="shared" si="4"/>
        <v/>
      </c>
      <c r="T47" s="104"/>
      <c r="U47" s="106"/>
      <c r="V47" s="20"/>
      <c r="W47" s="12"/>
      <c r="X47" s="12"/>
      <c r="Y47" s="12"/>
      <c r="Z47" s="12"/>
      <c r="AA47" s="12"/>
      <c r="AB47" s="12"/>
      <c r="AC47" s="12"/>
      <c r="AD47" s="12"/>
      <c r="AE47" s="16"/>
      <c r="AF47" s="314" t="str">
        <f t="shared" si="5"/>
        <v/>
      </c>
      <c r="AG47" s="315"/>
      <c r="AH47" s="315"/>
      <c r="AI47" s="315"/>
      <c r="AJ47" s="316"/>
      <c r="AL47" s="58" t="s">
        <v>189</v>
      </c>
      <c r="AM47" s="58">
        <v>0.2</v>
      </c>
      <c r="AO47" s="58">
        <v>8</v>
      </c>
      <c r="AP47" s="58">
        <f>AP28</f>
        <v>462</v>
      </c>
      <c r="AQ47" s="58">
        <f>AQ46+I29*O29%</f>
        <v>19.670000000000002</v>
      </c>
      <c r="AR47" s="60">
        <f>AQ47+G30</f>
        <v>19.670000000000002</v>
      </c>
      <c r="AS47" s="58">
        <f>IF(G29="",AS46,M45-K45)</f>
        <v>20.64763906855714</v>
      </c>
      <c r="AT47" s="58">
        <f>IF(G29="",AT46,P45-K45)</f>
        <v>20.814769738727016</v>
      </c>
      <c r="AW47" s="58" t="s">
        <v>117</v>
      </c>
      <c r="AX47" s="58" t="s">
        <v>118</v>
      </c>
      <c r="AY47" s="58">
        <f>AY42+AY46</f>
        <v>15.652416727203887</v>
      </c>
      <c r="AZ47" s="58" t="s">
        <v>29</v>
      </c>
      <c r="BD47" s="58" t="s">
        <v>93</v>
      </c>
    </row>
    <row r="48" spans="2:59" ht="15" thickBot="1">
      <c r="B48" s="11"/>
      <c r="C48" s="12"/>
      <c r="D48" s="12"/>
      <c r="E48" s="12"/>
      <c r="F48" s="13"/>
      <c r="G48" s="20"/>
      <c r="H48" s="165">
        <v>11</v>
      </c>
      <c r="I48" s="152"/>
      <c r="J48" s="153"/>
      <c r="K48" s="95" t="str">
        <f>IF(G32="","",AY174)</f>
        <v/>
      </c>
      <c r="L48" s="96"/>
      <c r="M48" s="87" t="str">
        <f>IF(G32="","",AY175)</f>
        <v/>
      </c>
      <c r="N48" s="88"/>
      <c r="O48" s="89"/>
      <c r="P48" s="87" t="str">
        <f>IF(G32="","",AY176)</f>
        <v/>
      </c>
      <c r="Q48" s="88"/>
      <c r="R48" s="89"/>
      <c r="S48" s="87" t="str">
        <f t="shared" si="4"/>
        <v/>
      </c>
      <c r="T48" s="88"/>
      <c r="U48" s="90"/>
      <c r="V48" s="20"/>
      <c r="W48" s="12"/>
      <c r="X48" s="12"/>
      <c r="Y48" s="12"/>
      <c r="Z48" s="12"/>
      <c r="AA48" s="12"/>
      <c r="AB48" s="12"/>
      <c r="AC48" s="12"/>
      <c r="AD48" s="12"/>
      <c r="AE48" s="16"/>
      <c r="AF48" s="314" t="str">
        <f t="shared" si="5"/>
        <v/>
      </c>
      <c r="AG48" s="315"/>
      <c r="AH48" s="315"/>
      <c r="AI48" s="315"/>
      <c r="AJ48" s="316"/>
      <c r="AL48" s="58" t="s">
        <v>188</v>
      </c>
      <c r="AM48" s="58">
        <v>0.3</v>
      </c>
      <c r="AP48" s="58">
        <f>AP47</f>
        <v>462</v>
      </c>
      <c r="AQ48" s="63">
        <f>AQ47+T29</f>
        <v>19.770000000000003</v>
      </c>
      <c r="AR48" s="60">
        <f>AR47+T29</f>
        <v>19.770000000000003</v>
      </c>
      <c r="AS48" s="58">
        <f>IF(G29="",AS47,M45)</f>
        <v>20.814769738727016</v>
      </c>
      <c r="AT48" s="58">
        <f>IF(G29="",AT47,P45)</f>
        <v>20.981900408896891</v>
      </c>
      <c r="AW48" s="58" t="s">
        <v>120</v>
      </c>
      <c r="AX48" s="58" t="s">
        <v>121</v>
      </c>
      <c r="AY48" s="58">
        <f>AY47+(IF($G$25="",$BF$23,$BF$33)^2/(2*9.81))</f>
        <v>16.156162236734041</v>
      </c>
      <c r="AZ48" s="58" t="s">
        <v>29</v>
      </c>
      <c r="BD48" s="58" t="s">
        <v>70</v>
      </c>
      <c r="BE48" s="58" t="s">
        <v>82</v>
      </c>
      <c r="BF48" s="60">
        <f>$G$27</f>
        <v>0.375</v>
      </c>
      <c r="BG48" s="59" t="s">
        <v>29</v>
      </c>
    </row>
    <row r="49" spans="2:59" ht="15" thickBot="1">
      <c r="B49" s="11"/>
      <c r="C49" s="12"/>
      <c r="D49" s="12"/>
      <c r="E49" s="12"/>
      <c r="F49" s="13"/>
      <c r="G49" s="20"/>
      <c r="H49" s="19"/>
      <c r="I49" s="19"/>
      <c r="J49" s="19"/>
      <c r="K49" s="19"/>
      <c r="L49" s="19"/>
      <c r="M49" s="19"/>
      <c r="N49" s="19"/>
      <c r="O49" s="19"/>
      <c r="P49" s="19"/>
      <c r="Q49" s="19"/>
      <c r="R49" s="19"/>
      <c r="S49" s="19"/>
      <c r="T49" s="19"/>
      <c r="U49" s="19"/>
      <c r="V49" s="19"/>
      <c r="W49" s="19"/>
      <c r="X49" s="19"/>
      <c r="Y49" s="19"/>
      <c r="Z49" s="19"/>
      <c r="AA49" s="19"/>
      <c r="AB49" s="19"/>
      <c r="AC49" s="12"/>
      <c r="AD49" s="12"/>
      <c r="AE49" s="16"/>
      <c r="AF49" s="17"/>
      <c r="AG49" s="12"/>
      <c r="AH49" s="12"/>
      <c r="AI49" s="12"/>
      <c r="AJ49" s="18"/>
      <c r="AL49" s="58" t="s">
        <v>187</v>
      </c>
      <c r="AM49" s="58">
        <v>0.35</v>
      </c>
      <c r="AO49" s="58">
        <v>9</v>
      </c>
      <c r="AP49" s="58">
        <f>AP29</f>
        <v>462</v>
      </c>
      <c r="AQ49" s="58">
        <f>AQ48+I30*O30%</f>
        <v>19.770000000000003</v>
      </c>
      <c r="AR49" s="60">
        <f>AQ49+G31</f>
        <v>19.770000000000003</v>
      </c>
      <c r="AS49" s="58">
        <f>IF(G30="",AS48,M46-K46)</f>
        <v>20.814769738727016</v>
      </c>
      <c r="AT49" s="58">
        <f>IF(G30="",AT48,P46-K46)</f>
        <v>20.981900408896891</v>
      </c>
      <c r="BD49" s="58" t="s">
        <v>71</v>
      </c>
      <c r="BE49" s="58" t="s">
        <v>83</v>
      </c>
      <c r="BF49" s="58">
        <f>PI()*(BF48/2)^2</f>
        <v>0.11044661672776616</v>
      </c>
      <c r="BG49" s="59" t="s">
        <v>78</v>
      </c>
    </row>
    <row r="50" spans="2:59">
      <c r="B50" s="11"/>
      <c r="C50" s="12"/>
      <c r="D50" s="12"/>
      <c r="E50" s="12"/>
      <c r="F50" s="13"/>
      <c r="G50" s="20"/>
      <c r="H50" s="343" t="s">
        <v>164</v>
      </c>
      <c r="I50" s="344"/>
      <c r="J50" s="345"/>
      <c r="K50" s="357" t="s">
        <v>165</v>
      </c>
      <c r="L50" s="353"/>
      <c r="M50" s="358"/>
      <c r="N50" s="361" t="s">
        <v>166</v>
      </c>
      <c r="O50" s="353"/>
      <c r="P50" s="358"/>
      <c r="Q50" s="361" t="s">
        <v>122</v>
      </c>
      <c r="R50" s="353"/>
      <c r="S50" s="358"/>
      <c r="T50" s="349" t="s">
        <v>119</v>
      </c>
      <c r="U50" s="350"/>
      <c r="V50" s="350"/>
      <c r="W50" s="349" t="s">
        <v>163</v>
      </c>
      <c r="X50" s="350"/>
      <c r="Y50" s="350"/>
      <c r="Z50" s="352" t="s">
        <v>43</v>
      </c>
      <c r="AA50" s="353"/>
      <c r="AB50" s="354"/>
      <c r="AC50" s="12"/>
      <c r="AD50" s="12"/>
      <c r="AE50" s="16"/>
      <c r="AF50" s="17"/>
      <c r="AG50" s="12"/>
      <c r="AH50" s="12"/>
      <c r="AI50" s="12"/>
      <c r="AJ50" s="18"/>
      <c r="AL50" s="58" t="s">
        <v>186</v>
      </c>
      <c r="AM50" s="58">
        <v>0.45</v>
      </c>
      <c r="AP50" s="58">
        <f>AP49</f>
        <v>462</v>
      </c>
      <c r="AQ50" s="63">
        <f>AQ49+T30</f>
        <v>19.770000000000003</v>
      </c>
      <c r="AR50" s="60">
        <f>AR49+T30</f>
        <v>19.770000000000003</v>
      </c>
      <c r="AS50" s="58">
        <f>IF(G30="",AS49,M46)</f>
        <v>20.814769738727016</v>
      </c>
      <c r="AT50" s="58">
        <f>IF(G30="",AT49,P46)</f>
        <v>20.981900408896891</v>
      </c>
      <c r="AW50" s="58" t="s">
        <v>144</v>
      </c>
      <c r="BD50" s="58" t="s">
        <v>72</v>
      </c>
      <c r="BE50" s="58" t="s">
        <v>84</v>
      </c>
      <c r="BF50" s="61">
        <f>$I$27</f>
        <v>50</v>
      </c>
      <c r="BG50" s="59" t="s">
        <v>29</v>
      </c>
    </row>
    <row r="51" spans="2:59" ht="15" thickBot="1">
      <c r="B51" s="11"/>
      <c r="C51" s="12"/>
      <c r="D51" s="12"/>
      <c r="E51" s="12"/>
      <c r="F51" s="13"/>
      <c r="G51" s="20"/>
      <c r="H51" s="346"/>
      <c r="I51" s="347"/>
      <c r="J51" s="348"/>
      <c r="K51" s="359"/>
      <c r="L51" s="355"/>
      <c r="M51" s="360"/>
      <c r="N51" s="355"/>
      <c r="O51" s="355"/>
      <c r="P51" s="360"/>
      <c r="Q51" s="355"/>
      <c r="R51" s="355"/>
      <c r="S51" s="360"/>
      <c r="T51" s="351"/>
      <c r="U51" s="351"/>
      <c r="V51" s="351"/>
      <c r="W51" s="351"/>
      <c r="X51" s="351"/>
      <c r="Y51" s="351"/>
      <c r="Z51" s="355"/>
      <c r="AA51" s="355"/>
      <c r="AB51" s="356"/>
      <c r="AC51" s="12"/>
      <c r="AD51" s="12"/>
      <c r="AE51" s="16"/>
      <c r="AF51" s="17"/>
      <c r="AG51" s="12"/>
      <c r="AH51" s="12"/>
      <c r="AI51" s="12"/>
      <c r="AJ51" s="18"/>
      <c r="AL51" s="58" t="s">
        <v>185</v>
      </c>
      <c r="AM51" s="58">
        <v>0.5</v>
      </c>
      <c r="AO51" s="58">
        <v>10</v>
      </c>
      <c r="AP51" s="58">
        <f>AP30</f>
        <v>462</v>
      </c>
      <c r="AQ51" s="58">
        <f>AQ50+I31*O31%</f>
        <v>19.770000000000003</v>
      </c>
      <c r="AR51" s="60">
        <f>AQ51+G32</f>
        <v>19.770000000000003</v>
      </c>
      <c r="AS51" s="58">
        <f>IF(G31="",AS50,M47-K47)</f>
        <v>20.814769738727016</v>
      </c>
      <c r="AT51" s="58">
        <f>IF(G31="",AT50,P47-K47)</f>
        <v>20.981900408896891</v>
      </c>
      <c r="AW51" s="58" t="s">
        <v>123</v>
      </c>
      <c r="AX51" s="58" t="s">
        <v>124</v>
      </c>
      <c r="AY51" s="60">
        <f>$M$25*10^-3</f>
        <v>5.9999999999999995E-4</v>
      </c>
      <c r="AZ51" s="58" t="s">
        <v>64</v>
      </c>
      <c r="BD51" s="58" t="s">
        <v>73</v>
      </c>
      <c r="BE51" s="58" t="s">
        <v>85</v>
      </c>
      <c r="BF51" s="61">
        <f>$O$27</f>
        <v>3</v>
      </c>
      <c r="BG51" s="59" t="s">
        <v>80</v>
      </c>
    </row>
    <row r="52" spans="2:59">
      <c r="B52" s="11"/>
      <c r="C52" s="12"/>
      <c r="D52" s="12"/>
      <c r="E52" s="12"/>
      <c r="F52" s="13"/>
      <c r="G52" s="20"/>
      <c r="H52" s="277">
        <v>1</v>
      </c>
      <c r="I52" s="278"/>
      <c r="J52" s="279"/>
      <c r="K52" s="91">
        <f>IF(G23="","",AY21)</f>
        <v>1214923.2297091247</v>
      </c>
      <c r="L52" s="92"/>
      <c r="M52" s="92"/>
      <c r="N52" s="93">
        <f>IF(G23="","",AY22)</f>
        <v>1.9635357457849546E-2</v>
      </c>
      <c r="O52" s="94"/>
      <c r="P52" s="94"/>
      <c r="Q52" s="93">
        <f>IF(G23="","",AY24)</f>
        <v>1.0210466238252827</v>
      </c>
      <c r="R52" s="94"/>
      <c r="S52" s="94"/>
      <c r="T52" s="80">
        <f>IF(G23="","",AY25)</f>
        <v>14.329670135981026</v>
      </c>
      <c r="U52" s="81"/>
      <c r="V52" s="81"/>
      <c r="W52" s="80">
        <f>IF(G23="","",AY26)</f>
        <v>13.971046623825282</v>
      </c>
      <c r="X52" s="81"/>
      <c r="Y52" s="81"/>
      <c r="Z52" s="80">
        <f t="shared" ref="Z52:Z61" si="6">IF(G23="","",S39)</f>
        <v>17</v>
      </c>
      <c r="AA52" s="81"/>
      <c r="AB52" s="82"/>
      <c r="AC52" s="12"/>
      <c r="AD52" s="12"/>
      <c r="AE52" s="16"/>
      <c r="AF52" s="314" t="str">
        <f>IF(G23="","",IF(W52&lt;Z52-Y11,"Acceptable","HGL Too High"))</f>
        <v>Acceptable</v>
      </c>
      <c r="AG52" s="332"/>
      <c r="AH52" s="332"/>
      <c r="AI52" s="332"/>
      <c r="AJ52" s="333"/>
      <c r="AL52" s="58" t="s">
        <v>184</v>
      </c>
      <c r="AM52" s="58">
        <v>0</v>
      </c>
      <c r="AP52" s="58">
        <f>AP51</f>
        <v>462</v>
      </c>
      <c r="AQ52" s="63">
        <f>AQ51+T31</f>
        <v>19.770000000000003</v>
      </c>
      <c r="AR52" s="60">
        <f>AR51+T31</f>
        <v>19.770000000000003</v>
      </c>
      <c r="AS52" s="58">
        <f>IF(G31="",AS51,M47)</f>
        <v>20.814769738727016</v>
      </c>
      <c r="AT52" s="58">
        <f>IF(G31="",AT51,P47)</f>
        <v>20.981900408896891</v>
      </c>
      <c r="AW52" s="58" t="s">
        <v>125</v>
      </c>
      <c r="AX52" s="58" t="s">
        <v>126</v>
      </c>
      <c r="AY52" s="58">
        <f>1.31*10^-6</f>
        <v>1.31E-6</v>
      </c>
      <c r="AZ52" s="58" t="s">
        <v>139</v>
      </c>
      <c r="BD52" s="58" t="s">
        <v>74</v>
      </c>
      <c r="BE52" s="58" t="s">
        <v>86</v>
      </c>
      <c r="BF52" s="60">
        <f>$K$27</f>
        <v>0.2</v>
      </c>
      <c r="BG52" s="59" t="s">
        <v>79</v>
      </c>
    </row>
    <row r="53" spans="2:59">
      <c r="B53" s="11"/>
      <c r="C53" s="12"/>
      <c r="D53" s="12"/>
      <c r="E53" s="12"/>
      <c r="F53" s="13"/>
      <c r="G53" s="20"/>
      <c r="H53" s="280">
        <v>2</v>
      </c>
      <c r="I53" s="281"/>
      <c r="J53" s="282"/>
      <c r="K53" s="83">
        <f>IF(G24="","",AY37)</f>
        <v>925655.79406409524</v>
      </c>
      <c r="L53" s="84"/>
      <c r="M53" s="84"/>
      <c r="N53" s="85">
        <f>IF(G24="","",AY38)</f>
        <v>2.0289472627785937E-2</v>
      </c>
      <c r="O53" s="86"/>
      <c r="P53" s="86"/>
      <c r="Q53" s="85">
        <f>IF(G24="","",AY40)</f>
        <v>1.0508373116097502</v>
      </c>
      <c r="R53" s="86"/>
      <c r="S53" s="86"/>
      <c r="T53" s="70">
        <f>IF(G24="","",AY41)</f>
        <v>15.652416727203887</v>
      </c>
      <c r="U53" s="71"/>
      <c r="V53" s="71"/>
      <c r="W53" s="70">
        <f>IF(G24="","",AY42)</f>
        <v>15.380507447590777</v>
      </c>
      <c r="X53" s="71"/>
      <c r="Y53" s="71"/>
      <c r="Z53" s="70">
        <f t="shared" si="6"/>
        <v>18</v>
      </c>
      <c r="AA53" s="71"/>
      <c r="AB53" s="72"/>
      <c r="AC53" s="12"/>
      <c r="AD53" s="12"/>
      <c r="AE53" s="16"/>
      <c r="AF53" s="314" t="str">
        <f>IF(G24="","",IF(W53&lt;Z53-Y11,"Acceptable","HGL Too High"))</f>
        <v>Acceptable</v>
      </c>
      <c r="AG53" s="332"/>
      <c r="AH53" s="332"/>
      <c r="AI53" s="332"/>
      <c r="AJ53" s="333"/>
      <c r="AL53" s="58" t="s">
        <v>183</v>
      </c>
      <c r="AM53" s="58">
        <v>0.02</v>
      </c>
      <c r="AO53" s="58">
        <v>11</v>
      </c>
      <c r="AP53" s="61">
        <f>AP31</f>
        <v>462</v>
      </c>
      <c r="AQ53" s="58">
        <f>AQ52+I32*O32%</f>
        <v>19.770000000000003</v>
      </c>
      <c r="AR53" s="60">
        <f>AQ53+G32</f>
        <v>19.770000000000003</v>
      </c>
      <c r="AS53" s="58">
        <f>IF(G32="",AS52,M48-K48)</f>
        <v>20.814769738727016</v>
      </c>
      <c r="AT53" s="58">
        <f>IF(G32="",AT52,P48-K48)</f>
        <v>20.981900408896891</v>
      </c>
      <c r="AW53" s="58" t="s">
        <v>127</v>
      </c>
      <c r="AX53" s="58" t="s">
        <v>128</v>
      </c>
      <c r="AY53" s="58">
        <f>($BF$33*$BF$28/AY52)</f>
        <v>1079931.7597414441</v>
      </c>
      <c r="BD53" s="58" t="s">
        <v>75</v>
      </c>
      <c r="BE53" s="58" t="s">
        <v>87</v>
      </c>
      <c r="BF53" s="58">
        <f>BF52/BF49</f>
        <v>1.8108295747344538</v>
      </c>
      <c r="BG53" s="59" t="s">
        <v>81</v>
      </c>
    </row>
    <row r="54" spans="2:59">
      <c r="B54" s="11"/>
      <c r="C54" s="12"/>
      <c r="D54" s="12"/>
      <c r="E54" s="12"/>
      <c r="F54" s="13"/>
      <c r="G54" s="20"/>
      <c r="H54" s="280">
        <v>3</v>
      </c>
      <c r="I54" s="281"/>
      <c r="J54" s="282"/>
      <c r="K54" s="83">
        <f>IF(G25="","",AY53)</f>
        <v>1079931.7597414441</v>
      </c>
      <c r="L54" s="84"/>
      <c r="M54" s="84"/>
      <c r="N54" s="85">
        <f>IF(G25="","",AY54)</f>
        <v>2.1086128995983E-2</v>
      </c>
      <c r="O54" s="86"/>
      <c r="P54" s="86"/>
      <c r="Q54" s="85">
        <f>IF(G25="","",AY56)</f>
        <v>1.7703404658499948</v>
      </c>
      <c r="R54" s="86"/>
      <c r="S54" s="86"/>
      <c r="T54" s="70">
        <f>IF(G25="","",AY57)</f>
        <v>17.926502702584035</v>
      </c>
      <c r="U54" s="71"/>
      <c r="V54" s="71"/>
      <c r="W54" s="70">
        <f>IF(G25="","",AY58)</f>
        <v>17.422757193053883</v>
      </c>
      <c r="X54" s="71"/>
      <c r="Y54" s="71"/>
      <c r="Z54" s="70">
        <f t="shared" si="6"/>
        <v>18.5</v>
      </c>
      <c r="AA54" s="71"/>
      <c r="AB54" s="72"/>
      <c r="AC54" s="12"/>
      <c r="AD54" s="12"/>
      <c r="AE54" s="16"/>
      <c r="AF54" s="314" t="str">
        <f>IF(G25="","",IF(W54&lt;Z54-Y11,"Acceptable","HGL Too High"))</f>
        <v>Acceptable</v>
      </c>
      <c r="AG54" s="332"/>
      <c r="AH54" s="332"/>
      <c r="AI54" s="332"/>
      <c r="AJ54" s="333"/>
      <c r="AL54" s="58" t="s">
        <v>182</v>
      </c>
      <c r="AM54" s="58">
        <v>0.04</v>
      </c>
      <c r="AP54" s="58">
        <f>AP53</f>
        <v>462</v>
      </c>
      <c r="AQ54" s="63">
        <f>AQ53+T32</f>
        <v>19.770000000000003</v>
      </c>
      <c r="AR54" s="60">
        <f>AR53+T32</f>
        <v>19.770000000000003</v>
      </c>
      <c r="AS54" s="58">
        <f>IF(G32="",AS53,M48)</f>
        <v>20.814769738727016</v>
      </c>
      <c r="AT54" s="58">
        <f>IF(G32="",AT53,P48)</f>
        <v>20.981900408896891</v>
      </c>
      <c r="AW54" s="58" t="s">
        <v>129</v>
      </c>
      <c r="AX54" s="58" t="s">
        <v>130</v>
      </c>
      <c r="AY54" s="58">
        <f>(1/(-2*LOG10((AY51/(3.7*$BF$28)))+(5.1286/AY53^0.89)))^2</f>
        <v>2.1086128995983E-2</v>
      </c>
      <c r="AZ54" s="62"/>
      <c r="BD54" s="58" t="s">
        <v>76</v>
      </c>
      <c r="BE54" s="58" t="s">
        <v>88</v>
      </c>
      <c r="BF54" s="63">
        <f>BF45+$T$26</f>
        <v>16.97</v>
      </c>
      <c r="BG54" s="59" t="s">
        <v>29</v>
      </c>
    </row>
    <row r="55" spans="2:59">
      <c r="B55" s="11"/>
      <c r="C55" s="12"/>
      <c r="D55" s="12"/>
      <c r="E55" s="12"/>
      <c r="F55" s="13"/>
      <c r="G55" s="20"/>
      <c r="H55" s="280">
        <v>4</v>
      </c>
      <c r="I55" s="281"/>
      <c r="J55" s="282"/>
      <c r="K55" s="83">
        <f>IF(G26="","",AY69)</f>
        <v>518367.24467589328</v>
      </c>
      <c r="L55" s="84"/>
      <c r="M55" s="84"/>
      <c r="N55" s="85">
        <f>IF(G26="","",AY70)</f>
        <v>2.2090294096760582E-2</v>
      </c>
      <c r="O55" s="86"/>
      <c r="P55" s="86"/>
      <c r="Q55" s="85">
        <f>IF(G26="","",AY72)</f>
        <v>0.49226208755216627</v>
      </c>
      <c r="R55" s="86"/>
      <c r="S55" s="86"/>
      <c r="T55" s="70">
        <f>IF(G26="","",AY73)</f>
        <v>18.585895460306077</v>
      </c>
      <c r="U55" s="71"/>
      <c r="V55" s="71"/>
      <c r="W55" s="70">
        <f>IF(G26="","",AY74)</f>
        <v>18.418764790136201</v>
      </c>
      <c r="X55" s="71"/>
      <c r="Y55" s="71"/>
      <c r="Z55" s="70">
        <f t="shared" si="6"/>
        <v>19</v>
      </c>
      <c r="AA55" s="71"/>
      <c r="AB55" s="72"/>
      <c r="AC55" s="12"/>
      <c r="AD55" s="12"/>
      <c r="AE55" s="16"/>
      <c r="AF55" s="314" t="str">
        <f>IF(G26="","",IF(W55&lt;Z55-Y11,"Acceptable","HGL Too High"))</f>
        <v>Acceptable</v>
      </c>
      <c r="AG55" s="332"/>
      <c r="AH55" s="332"/>
      <c r="AI55" s="332"/>
      <c r="AJ55" s="333"/>
      <c r="AL55" s="58" t="s">
        <v>181</v>
      </c>
      <c r="AM55" s="58">
        <v>0.12</v>
      </c>
      <c r="AW55" s="58" t="s">
        <v>131</v>
      </c>
      <c r="AX55" s="58" t="s">
        <v>132</v>
      </c>
      <c r="AY55" s="58">
        <f>AY54*$BF$33^2/(2*9.81*$BF$28)</f>
        <v>2.3604539544666597E-2</v>
      </c>
      <c r="AZ55" s="58" t="s">
        <v>29</v>
      </c>
      <c r="BD55" s="58" t="s">
        <v>77</v>
      </c>
      <c r="BE55" s="58" t="s">
        <v>89</v>
      </c>
      <c r="BF55" s="58">
        <f>BF54+BF50*BF51%</f>
        <v>18.47</v>
      </c>
      <c r="BG55" s="59" t="s">
        <v>29</v>
      </c>
    </row>
    <row r="56" spans="2:59">
      <c r="B56" s="11"/>
      <c r="C56" s="12"/>
      <c r="D56" s="12"/>
      <c r="E56" s="12"/>
      <c r="F56" s="13"/>
      <c r="G56" s="20"/>
      <c r="H56" s="280">
        <v>5</v>
      </c>
      <c r="I56" s="281"/>
      <c r="J56" s="282"/>
      <c r="K56" s="83">
        <f>IF(G27="","",AY85)</f>
        <v>518367.24467589328</v>
      </c>
      <c r="L56" s="84"/>
      <c r="M56" s="84"/>
      <c r="N56" s="85">
        <f>IF(G27="","",AY86)</f>
        <v>2.2090294096760582E-2</v>
      </c>
      <c r="O56" s="86"/>
      <c r="P56" s="86"/>
      <c r="Q56" s="85">
        <f>IF(G27="","",AY88)</f>
        <v>0.49226208755216627</v>
      </c>
      <c r="R56" s="86"/>
      <c r="S56" s="86"/>
      <c r="T56" s="70">
        <f>IF(G27="","",AY89)</f>
        <v>19.495984223282932</v>
      </c>
      <c r="U56" s="71"/>
      <c r="V56" s="71"/>
      <c r="W56" s="70">
        <f>IF(G27="","",AY90)</f>
        <v>19.328853553113056</v>
      </c>
      <c r="X56" s="71"/>
      <c r="Y56" s="71"/>
      <c r="Z56" s="70">
        <f t="shared" si="6"/>
        <v>20</v>
      </c>
      <c r="AA56" s="71"/>
      <c r="AB56" s="72"/>
      <c r="AC56" s="12"/>
      <c r="AD56" s="12"/>
      <c r="AE56" s="16"/>
      <c r="AF56" s="314" t="str">
        <f>IF(G27="","",IF(W56&lt;Z56-Y11,"Acceptable","HGL Too High"))</f>
        <v>Acceptable</v>
      </c>
      <c r="AG56" s="332"/>
      <c r="AH56" s="332"/>
      <c r="AI56" s="332"/>
      <c r="AJ56" s="333"/>
      <c r="AL56" s="58" t="s">
        <v>180</v>
      </c>
      <c r="AM56" s="58">
        <v>0.12</v>
      </c>
      <c r="AW56" s="58" t="s">
        <v>133</v>
      </c>
      <c r="AX56" s="58" t="s">
        <v>134</v>
      </c>
      <c r="AY56" s="58">
        <f>AY55*$BF$30</f>
        <v>1.7703404658499948</v>
      </c>
      <c r="AZ56" s="58" t="s">
        <v>29</v>
      </c>
    </row>
    <row r="57" spans="2:59">
      <c r="B57" s="11"/>
      <c r="C57" s="12"/>
      <c r="D57" s="12"/>
      <c r="E57" s="12"/>
      <c r="F57" s="13"/>
      <c r="G57" s="20"/>
      <c r="H57" s="280">
        <v>6</v>
      </c>
      <c r="I57" s="281"/>
      <c r="J57" s="282"/>
      <c r="K57" s="83">
        <f>IF(G28="","",AY101)</f>
        <v>518367.24467589328</v>
      </c>
      <c r="L57" s="84"/>
      <c r="M57" s="84"/>
      <c r="N57" s="85">
        <f>IF(G28="","",AY102)</f>
        <v>2.2090294096760582E-2</v>
      </c>
      <c r="O57" s="86"/>
      <c r="P57" s="86"/>
      <c r="Q57" s="85">
        <f>IF(G28="","",AY104)</f>
        <v>0.49226208755216627</v>
      </c>
      <c r="R57" s="86"/>
      <c r="S57" s="86"/>
      <c r="T57" s="70">
        <f>IF(G28="","",AY105)</f>
        <v>20.155376981004974</v>
      </c>
      <c r="U57" s="71"/>
      <c r="V57" s="71"/>
      <c r="W57" s="70">
        <f>IF(G28="","",AY106)</f>
        <v>19.988246310835098</v>
      </c>
      <c r="X57" s="71"/>
      <c r="Y57" s="71"/>
      <c r="Z57" s="70">
        <f t="shared" si="6"/>
        <v>21</v>
      </c>
      <c r="AA57" s="71"/>
      <c r="AB57" s="72"/>
      <c r="AC57" s="12"/>
      <c r="AD57" s="12"/>
      <c r="AE57" s="16"/>
      <c r="AF57" s="314" t="str">
        <f>IF(G28="","",IF(W57&lt;Z57-Y11,"Acceptable","HGL Too High"))</f>
        <v>Acceptable</v>
      </c>
      <c r="AG57" s="332"/>
      <c r="AH57" s="332"/>
      <c r="AI57" s="332"/>
      <c r="AJ57" s="333"/>
      <c r="AL57" s="58" t="s">
        <v>179</v>
      </c>
      <c r="AM57" s="58">
        <v>1</v>
      </c>
      <c r="AW57" s="58" t="s">
        <v>135</v>
      </c>
      <c r="AX57" s="58" t="s">
        <v>136</v>
      </c>
      <c r="AY57" s="58">
        <f>AY48+AY56</f>
        <v>17.926502702584035</v>
      </c>
      <c r="AZ57" s="58" t="s">
        <v>29</v>
      </c>
      <c r="BD57" s="58" t="s">
        <v>94</v>
      </c>
    </row>
    <row r="58" spans="2:59">
      <c r="B58" s="11"/>
      <c r="C58" s="12"/>
      <c r="D58" s="12"/>
      <c r="E58" s="12"/>
      <c r="F58" s="13"/>
      <c r="G58" s="20"/>
      <c r="H58" s="280">
        <v>7</v>
      </c>
      <c r="I58" s="281"/>
      <c r="J58" s="282"/>
      <c r="K58" s="83">
        <f>IF(G29="","",AY117)</f>
        <v>518367.24467589328</v>
      </c>
      <c r="L58" s="84"/>
      <c r="M58" s="84"/>
      <c r="N58" s="85">
        <f>IF(G29="","",AY118)</f>
        <v>2.2090294096760582E-2</v>
      </c>
      <c r="O58" s="86"/>
      <c r="P58" s="86"/>
      <c r="Q58" s="85">
        <f>IF(G29="","",AY120)</f>
        <v>0.49226208755216627</v>
      </c>
      <c r="R58" s="86"/>
      <c r="S58" s="86"/>
      <c r="T58" s="70">
        <f>IF(G29="","",AY121)</f>
        <v>20.814769738727016</v>
      </c>
      <c r="U58" s="71"/>
      <c r="V58" s="71"/>
      <c r="W58" s="70">
        <f>IF(G29="","",AY122)</f>
        <v>20.64763906855714</v>
      </c>
      <c r="X58" s="71"/>
      <c r="Y58" s="71"/>
      <c r="Z58" s="70">
        <f t="shared" si="6"/>
        <v>22</v>
      </c>
      <c r="AA58" s="71"/>
      <c r="AB58" s="72"/>
      <c r="AC58" s="12"/>
      <c r="AD58" s="12"/>
      <c r="AE58" s="16"/>
      <c r="AF58" s="314" t="str">
        <f>IF(G29="","",IF(W58&lt;Z58-Y11,"Acceptable","HGL Too High"))</f>
        <v>Acceptable</v>
      </c>
      <c r="AG58" s="332"/>
      <c r="AH58" s="332"/>
      <c r="AI58" s="332"/>
      <c r="AJ58" s="333"/>
      <c r="AL58" s="58" t="s">
        <v>178</v>
      </c>
      <c r="AM58" s="58">
        <v>6</v>
      </c>
      <c r="AW58" s="58" t="s">
        <v>137</v>
      </c>
      <c r="AX58" s="58" t="s">
        <v>138</v>
      </c>
      <c r="AY58" s="58">
        <f>AY57-$BF$33^2/(2*9.81)</f>
        <v>17.422757193053883</v>
      </c>
      <c r="AZ58" s="58" t="s">
        <v>29</v>
      </c>
      <c r="BD58" s="58" t="s">
        <v>70</v>
      </c>
      <c r="BE58" s="58" t="s">
        <v>82</v>
      </c>
      <c r="BF58" s="60">
        <f>$G$28</f>
        <v>0.375</v>
      </c>
      <c r="BG58" s="59" t="s">
        <v>29</v>
      </c>
    </row>
    <row r="59" spans="2:59">
      <c r="B59" s="11"/>
      <c r="C59" s="12"/>
      <c r="D59" s="12"/>
      <c r="E59" s="12"/>
      <c r="F59" s="13"/>
      <c r="G59" s="20"/>
      <c r="H59" s="280">
        <v>8</v>
      </c>
      <c r="I59" s="281"/>
      <c r="J59" s="282"/>
      <c r="K59" s="83" t="str">
        <f>IF(G30="","",AY133)</f>
        <v/>
      </c>
      <c r="L59" s="84"/>
      <c r="M59" s="84"/>
      <c r="N59" s="85" t="str">
        <f>IF(G30="","",AY134)</f>
        <v/>
      </c>
      <c r="O59" s="86"/>
      <c r="P59" s="86"/>
      <c r="Q59" s="85" t="str">
        <f>IF(G30="","",AY136)</f>
        <v/>
      </c>
      <c r="R59" s="86"/>
      <c r="S59" s="86"/>
      <c r="T59" s="70" t="str">
        <f>IF(G30="","",AY137)</f>
        <v/>
      </c>
      <c r="U59" s="71"/>
      <c r="V59" s="71"/>
      <c r="W59" s="70" t="str">
        <f>IF(G30="","",AY138)</f>
        <v/>
      </c>
      <c r="X59" s="71"/>
      <c r="Y59" s="71"/>
      <c r="Z59" s="70" t="str">
        <f t="shared" si="6"/>
        <v/>
      </c>
      <c r="AA59" s="71"/>
      <c r="AB59" s="72"/>
      <c r="AC59" s="12"/>
      <c r="AD59" s="12"/>
      <c r="AE59" s="16"/>
      <c r="AF59" s="314" t="str">
        <f>IF(G30="","",IF(W59&lt;Z59-Y11,"Acceptable","HGL Too High"))</f>
        <v/>
      </c>
      <c r="AG59" s="332"/>
      <c r="AH59" s="332"/>
      <c r="AI59" s="332"/>
      <c r="AJ59" s="333"/>
      <c r="AL59" s="58" t="s">
        <v>177</v>
      </c>
      <c r="AM59" s="58">
        <v>24</v>
      </c>
      <c r="BD59" s="58" t="s">
        <v>71</v>
      </c>
      <c r="BE59" s="58" t="s">
        <v>83</v>
      </c>
      <c r="BF59" s="58">
        <f>PI()*(BF58/2)^2</f>
        <v>0.11044661672776616</v>
      </c>
      <c r="BG59" s="59" t="s">
        <v>78</v>
      </c>
    </row>
    <row r="60" spans="2:59">
      <c r="B60" s="11"/>
      <c r="C60" s="12"/>
      <c r="D60" s="12"/>
      <c r="E60" s="12"/>
      <c r="F60" s="13"/>
      <c r="G60" s="20"/>
      <c r="H60" s="280">
        <v>9</v>
      </c>
      <c r="I60" s="281"/>
      <c r="J60" s="282"/>
      <c r="K60" s="83" t="str">
        <f>IF(G31="","",AY149)</f>
        <v/>
      </c>
      <c r="L60" s="84"/>
      <c r="M60" s="84"/>
      <c r="N60" s="85" t="str">
        <f>IF(G31="","",AY150)</f>
        <v/>
      </c>
      <c r="O60" s="86"/>
      <c r="P60" s="86"/>
      <c r="Q60" s="85" t="str">
        <f>IF(G31="","",AY152)</f>
        <v/>
      </c>
      <c r="R60" s="86"/>
      <c r="S60" s="86"/>
      <c r="T60" s="70" t="str">
        <f>IF(G31="","",AY153)</f>
        <v/>
      </c>
      <c r="U60" s="71"/>
      <c r="V60" s="71"/>
      <c r="W60" s="70" t="str">
        <f>IF(G31="","",AY154)</f>
        <v/>
      </c>
      <c r="X60" s="71"/>
      <c r="Y60" s="71"/>
      <c r="Z60" s="70" t="str">
        <f t="shared" si="6"/>
        <v/>
      </c>
      <c r="AA60" s="71"/>
      <c r="AB60" s="72"/>
      <c r="AC60" s="12"/>
      <c r="AD60" s="12"/>
      <c r="AE60" s="16"/>
      <c r="AF60" s="314" t="str">
        <f>IF(G31="","",IF(W60&lt;Z60-Y11,"Acceptable","HGL Too High"))</f>
        <v/>
      </c>
      <c r="AG60" s="332"/>
      <c r="AH60" s="332"/>
      <c r="AI60" s="332"/>
      <c r="AJ60" s="333"/>
      <c r="AL60" s="58" t="s">
        <v>176</v>
      </c>
      <c r="AM60" s="58">
        <v>10</v>
      </c>
      <c r="AW60" s="58" t="s">
        <v>145</v>
      </c>
      <c r="BD60" s="58" t="s">
        <v>72</v>
      </c>
      <c r="BE60" s="58" t="s">
        <v>84</v>
      </c>
      <c r="BF60" s="61">
        <f>$I$28</f>
        <v>50</v>
      </c>
      <c r="BG60" s="59" t="s">
        <v>29</v>
      </c>
    </row>
    <row r="61" spans="2:59" ht="15" thickBot="1">
      <c r="B61" s="11"/>
      <c r="C61" s="12"/>
      <c r="D61" s="12"/>
      <c r="E61" s="12"/>
      <c r="F61" s="13"/>
      <c r="G61" s="20"/>
      <c r="H61" s="375">
        <v>10</v>
      </c>
      <c r="I61" s="351"/>
      <c r="J61" s="376"/>
      <c r="K61" s="73" t="str">
        <f>IF(G32="","",AY165)</f>
        <v/>
      </c>
      <c r="L61" s="74"/>
      <c r="M61" s="74"/>
      <c r="N61" s="75" t="str">
        <f>IF(G32="","",AY166)</f>
        <v/>
      </c>
      <c r="O61" s="76"/>
      <c r="P61" s="76"/>
      <c r="Q61" s="75" t="str">
        <f>IF(G32="","",AY168)</f>
        <v/>
      </c>
      <c r="R61" s="76"/>
      <c r="S61" s="76"/>
      <c r="T61" s="77" t="str">
        <f>IF(G32="","",AY169)</f>
        <v/>
      </c>
      <c r="U61" s="78"/>
      <c r="V61" s="78"/>
      <c r="W61" s="77" t="str">
        <f>IF(G32="","",AY170)</f>
        <v/>
      </c>
      <c r="X61" s="78"/>
      <c r="Y61" s="78"/>
      <c r="Z61" s="77" t="str">
        <f t="shared" si="6"/>
        <v/>
      </c>
      <c r="AA61" s="78"/>
      <c r="AB61" s="79"/>
      <c r="AC61" s="12"/>
      <c r="AD61" s="12"/>
      <c r="AE61" s="16"/>
      <c r="AF61" s="314" t="str">
        <f>IF(G32="","",IF(W61&lt;Z61-Y11,"Acceptable","HGL Too High"))</f>
        <v/>
      </c>
      <c r="AG61" s="332"/>
      <c r="AH61" s="332"/>
      <c r="AI61" s="332"/>
      <c r="AJ61" s="333"/>
      <c r="AL61" s="58" t="s">
        <v>175</v>
      </c>
      <c r="AM61" s="58">
        <v>5</v>
      </c>
      <c r="AW61" s="58" t="s">
        <v>113</v>
      </c>
      <c r="AX61" s="58" t="s">
        <v>115</v>
      </c>
      <c r="AY61" s="63">
        <f>$AF$25</f>
        <v>1</v>
      </c>
      <c r="BD61" s="58" t="s">
        <v>73</v>
      </c>
      <c r="BE61" s="58" t="s">
        <v>85</v>
      </c>
      <c r="BF61" s="61">
        <f>$O$28</f>
        <v>1</v>
      </c>
      <c r="BG61" s="59" t="s">
        <v>80</v>
      </c>
    </row>
    <row r="62" spans="2:59">
      <c r="B62" s="11"/>
      <c r="C62" s="12"/>
      <c r="D62" s="12"/>
      <c r="E62" s="12"/>
      <c r="F62" s="13"/>
      <c r="G62" s="20"/>
      <c r="H62" s="4"/>
      <c r="I62" s="4"/>
      <c r="J62" s="4"/>
      <c r="K62" s="4"/>
      <c r="L62" s="4"/>
      <c r="M62" s="4"/>
      <c r="N62" s="4"/>
      <c r="O62" s="4"/>
      <c r="P62" s="4"/>
      <c r="Q62" s="4"/>
      <c r="R62" s="4"/>
      <c r="S62" s="4"/>
      <c r="T62" s="4"/>
      <c r="U62" s="4"/>
      <c r="V62" s="4"/>
      <c r="W62" s="4"/>
      <c r="X62" s="4"/>
      <c r="Y62" s="4"/>
      <c r="Z62" s="4"/>
      <c r="AA62" s="4"/>
      <c r="AB62" s="4"/>
      <c r="AC62" s="12"/>
      <c r="AD62" s="12"/>
      <c r="AE62" s="16"/>
      <c r="AF62" s="17"/>
      <c r="AG62" s="12"/>
      <c r="AH62" s="12"/>
      <c r="AI62" s="12"/>
      <c r="AJ62" s="18"/>
      <c r="AL62" s="58" t="s">
        <v>174</v>
      </c>
      <c r="AM62" s="58">
        <v>1</v>
      </c>
      <c r="AW62" s="58" t="s">
        <v>114</v>
      </c>
      <c r="AX62" s="58" t="s">
        <v>116</v>
      </c>
      <c r="AY62" s="58">
        <f>AY61*($BF$33^2/(2*9.81))</f>
        <v>0.50374550953015196</v>
      </c>
      <c r="BD62" s="58" t="s">
        <v>74</v>
      </c>
      <c r="BE62" s="58" t="s">
        <v>86</v>
      </c>
      <c r="BF62" s="60">
        <f>$K$28</f>
        <v>0.2</v>
      </c>
      <c r="BG62" s="59" t="s">
        <v>79</v>
      </c>
    </row>
    <row r="63" spans="2:59" ht="15" thickBot="1">
      <c r="B63" s="25"/>
      <c r="C63" s="26"/>
      <c r="D63" s="26"/>
      <c r="E63" s="26"/>
      <c r="F63" s="27"/>
      <c r="G63" s="28"/>
      <c r="H63" s="26"/>
      <c r="I63" s="26"/>
      <c r="J63" s="26"/>
      <c r="K63" s="26"/>
      <c r="L63" s="26"/>
      <c r="M63" s="26"/>
      <c r="N63" s="26"/>
      <c r="O63" s="26"/>
      <c r="P63" s="26"/>
      <c r="Q63" s="26"/>
      <c r="R63" s="26"/>
      <c r="S63" s="26"/>
      <c r="T63" s="26"/>
      <c r="U63" s="26"/>
      <c r="V63" s="26"/>
      <c r="W63" s="26"/>
      <c r="X63" s="26"/>
      <c r="Y63" s="26"/>
      <c r="Z63" s="26"/>
      <c r="AA63" s="26"/>
      <c r="AB63" s="26"/>
      <c r="AC63" s="26"/>
      <c r="AD63" s="26"/>
      <c r="AE63" s="2"/>
      <c r="AF63" s="29"/>
      <c r="AG63" s="26"/>
      <c r="AH63" s="26"/>
      <c r="AI63" s="26"/>
      <c r="AJ63" s="30"/>
      <c r="AL63" s="58" t="s">
        <v>173</v>
      </c>
      <c r="AM63" s="58">
        <v>0.3</v>
      </c>
      <c r="AW63" s="58" t="s">
        <v>117</v>
      </c>
      <c r="AX63" s="58" t="s">
        <v>118</v>
      </c>
      <c r="AY63" s="58">
        <f>AY58+AY62</f>
        <v>17.926502702584035</v>
      </c>
      <c r="AZ63" s="58" t="s">
        <v>29</v>
      </c>
      <c r="BD63" s="58" t="s">
        <v>75</v>
      </c>
      <c r="BE63" s="58" t="s">
        <v>87</v>
      </c>
      <c r="BF63" s="58">
        <f>BF62/BF59</f>
        <v>1.8108295747344538</v>
      </c>
      <c r="BG63" s="59" t="s">
        <v>81</v>
      </c>
    </row>
    <row r="64" spans="2:59">
      <c r="AW64" s="58" t="s">
        <v>120</v>
      </c>
      <c r="AX64" s="58" t="s">
        <v>121</v>
      </c>
      <c r="AY64" s="58">
        <f>AY63+(IF($G$26="",$BF$33,$BF$43)^2/(2*9.81))</f>
        <v>18.09363337275391</v>
      </c>
      <c r="AZ64" s="58" t="s">
        <v>29</v>
      </c>
      <c r="BD64" s="58" t="s">
        <v>76</v>
      </c>
      <c r="BE64" s="58" t="s">
        <v>88</v>
      </c>
      <c r="BF64" s="63">
        <f>BF55+$T$27</f>
        <v>18.57</v>
      </c>
      <c r="BG64" s="59" t="s">
        <v>29</v>
      </c>
    </row>
    <row r="65" spans="49:59">
      <c r="BD65" s="58" t="s">
        <v>77</v>
      </c>
      <c r="BE65" s="58" t="s">
        <v>89</v>
      </c>
      <c r="BF65" s="58">
        <f>BF64+BF60*BF61%</f>
        <v>19.07</v>
      </c>
      <c r="BG65" s="59" t="s">
        <v>29</v>
      </c>
    </row>
    <row r="66" spans="49:59">
      <c r="AW66" s="58" t="s">
        <v>146</v>
      </c>
    </row>
    <row r="67" spans="49:59" ht="15" customHeight="1">
      <c r="AW67" s="58" t="s">
        <v>123</v>
      </c>
      <c r="AX67" s="58" t="s">
        <v>124</v>
      </c>
      <c r="AY67" s="60">
        <f>$M$26*10^-3</f>
        <v>5.9999999999999995E-4</v>
      </c>
      <c r="AZ67" s="58" t="s">
        <v>64</v>
      </c>
      <c r="BD67" s="58" t="s">
        <v>96</v>
      </c>
    </row>
    <row r="68" spans="49:59">
      <c r="AW68" s="58" t="s">
        <v>125</v>
      </c>
      <c r="AX68" s="58" t="s">
        <v>126</v>
      </c>
      <c r="AY68" s="58">
        <f>1.31*10^-6</f>
        <v>1.31E-6</v>
      </c>
      <c r="AZ68" s="58" t="s">
        <v>139</v>
      </c>
      <c r="BD68" s="58" t="s">
        <v>70</v>
      </c>
      <c r="BE68" s="58" t="s">
        <v>82</v>
      </c>
      <c r="BF68" s="60">
        <f>$G$29</f>
        <v>0.375</v>
      </c>
      <c r="BG68" s="59" t="s">
        <v>29</v>
      </c>
    </row>
    <row r="69" spans="49:59">
      <c r="AW69" s="58" t="s">
        <v>127</v>
      </c>
      <c r="AX69" s="58" t="s">
        <v>128</v>
      </c>
      <c r="AY69" s="58">
        <f>($BF$43*$BF$38/AY68)</f>
        <v>518367.24467589328</v>
      </c>
      <c r="BD69" s="58" t="s">
        <v>71</v>
      </c>
      <c r="BE69" s="58" t="s">
        <v>83</v>
      </c>
      <c r="BF69" s="58">
        <f>PI()*(BF68/2)^2</f>
        <v>0.11044661672776616</v>
      </c>
      <c r="BG69" s="59" t="s">
        <v>78</v>
      </c>
    </row>
    <row r="70" spans="49:59">
      <c r="AW70" s="58" t="s">
        <v>129</v>
      </c>
      <c r="AX70" s="58" t="s">
        <v>130</v>
      </c>
      <c r="AY70" s="58">
        <f>(1/(-2*LOG10((AY67/(3.7*$BF$38)))+(5.1286/AY69^0.89)))^2</f>
        <v>2.2090294096760582E-2</v>
      </c>
      <c r="AZ70" s="62"/>
      <c r="BD70" s="58" t="s">
        <v>72</v>
      </c>
      <c r="BE70" s="58" t="s">
        <v>84</v>
      </c>
      <c r="BF70" s="61">
        <f>$I$29</f>
        <v>50</v>
      </c>
      <c r="BG70" s="59" t="s">
        <v>29</v>
      </c>
    </row>
    <row r="71" spans="49:59">
      <c r="AW71" s="58" t="s">
        <v>131</v>
      </c>
      <c r="AX71" s="58" t="s">
        <v>132</v>
      </c>
      <c r="AY71" s="58">
        <f>AY70*$BF$43^2/(2*9.81*$BF$38)</f>
        <v>9.8452417510433259E-3</v>
      </c>
      <c r="AZ71" s="58" t="s">
        <v>29</v>
      </c>
      <c r="BD71" s="58" t="s">
        <v>73</v>
      </c>
      <c r="BE71" s="58" t="s">
        <v>85</v>
      </c>
      <c r="BF71" s="61">
        <f>$O$29</f>
        <v>1</v>
      </c>
      <c r="BG71" s="59" t="s">
        <v>80</v>
      </c>
    </row>
    <row r="72" spans="49:59">
      <c r="AW72" s="58" t="s">
        <v>133</v>
      </c>
      <c r="AX72" s="58" t="s">
        <v>134</v>
      </c>
      <c r="AY72" s="58">
        <f>AY71*$BF$40</f>
        <v>0.49226208755216627</v>
      </c>
      <c r="AZ72" s="58" t="s">
        <v>29</v>
      </c>
      <c r="BD72" s="58" t="s">
        <v>74</v>
      </c>
      <c r="BE72" s="58" t="s">
        <v>86</v>
      </c>
      <c r="BF72" s="60">
        <f>$K$29</f>
        <v>0.2</v>
      </c>
      <c r="BG72" s="59" t="s">
        <v>79</v>
      </c>
    </row>
    <row r="73" spans="49:59">
      <c r="AW73" s="58" t="s">
        <v>135</v>
      </c>
      <c r="AX73" s="58" t="s">
        <v>136</v>
      </c>
      <c r="AY73" s="58">
        <f>AY64+AY72</f>
        <v>18.585895460306077</v>
      </c>
      <c r="AZ73" s="58" t="s">
        <v>29</v>
      </c>
      <c r="BD73" s="58" t="s">
        <v>75</v>
      </c>
      <c r="BE73" s="58" t="s">
        <v>87</v>
      </c>
      <c r="BF73" s="58">
        <f>BF72/BF69</f>
        <v>1.8108295747344538</v>
      </c>
      <c r="BG73" s="59" t="s">
        <v>81</v>
      </c>
    </row>
    <row r="74" spans="49:59">
      <c r="AW74" s="58" t="s">
        <v>137</v>
      </c>
      <c r="AX74" s="58" t="s">
        <v>138</v>
      </c>
      <c r="AY74" s="58">
        <f>AY73-$BF$43^2/(2*9.81)</f>
        <v>18.418764790136201</v>
      </c>
      <c r="AZ74" s="58" t="s">
        <v>29</v>
      </c>
      <c r="BD74" s="58" t="s">
        <v>76</v>
      </c>
      <c r="BE74" s="58" t="s">
        <v>88</v>
      </c>
      <c r="BF74" s="63">
        <f>BF65+$T$28</f>
        <v>19.170000000000002</v>
      </c>
      <c r="BG74" s="59" t="s">
        <v>29</v>
      </c>
    </row>
    <row r="75" spans="49:59">
      <c r="BD75" s="58" t="s">
        <v>77</v>
      </c>
      <c r="BE75" s="58" t="s">
        <v>89</v>
      </c>
      <c r="BF75" s="58">
        <f>BF74+BF70*BF71%</f>
        <v>19.670000000000002</v>
      </c>
      <c r="BG75" s="59" t="s">
        <v>29</v>
      </c>
    </row>
    <row r="76" spans="49:59">
      <c r="AW76" s="58" t="s">
        <v>147</v>
      </c>
      <c r="BG76" s="58"/>
    </row>
    <row r="77" spans="49:59">
      <c r="AW77" s="58" t="s">
        <v>113</v>
      </c>
      <c r="AX77" s="58" t="s">
        <v>115</v>
      </c>
      <c r="AY77" s="63">
        <f>$AF$26</f>
        <v>2.5</v>
      </c>
      <c r="BD77" s="58" t="s">
        <v>95</v>
      </c>
    </row>
    <row r="78" spans="49:59">
      <c r="AW78" s="58" t="s">
        <v>114</v>
      </c>
      <c r="AX78" s="58" t="s">
        <v>116</v>
      </c>
      <c r="AY78" s="58">
        <f>AY77*($BF$43^2/(2*9.81))</f>
        <v>0.41782667542468943</v>
      </c>
      <c r="BD78" s="58" t="s">
        <v>70</v>
      </c>
      <c r="BE78" s="58" t="s">
        <v>82</v>
      </c>
      <c r="BF78" s="60">
        <f>$G$30</f>
        <v>0</v>
      </c>
      <c r="BG78" s="59" t="s">
        <v>29</v>
      </c>
    </row>
    <row r="79" spans="49:59">
      <c r="AW79" s="58" t="s">
        <v>117</v>
      </c>
      <c r="AX79" s="58" t="s">
        <v>118</v>
      </c>
      <c r="AY79" s="58">
        <f>AY74+AY78</f>
        <v>18.83659146556089</v>
      </c>
      <c r="AZ79" s="58" t="s">
        <v>29</v>
      </c>
      <c r="BD79" s="58" t="s">
        <v>71</v>
      </c>
      <c r="BE79" s="58" t="s">
        <v>83</v>
      </c>
      <c r="BF79" s="58">
        <f>PI()*(BF78/2)^2</f>
        <v>0</v>
      </c>
      <c r="BG79" s="59" t="s">
        <v>78</v>
      </c>
    </row>
    <row r="80" spans="49:59">
      <c r="AW80" s="58" t="s">
        <v>120</v>
      </c>
      <c r="AX80" s="58" t="s">
        <v>121</v>
      </c>
      <c r="AY80" s="58">
        <f>AY79+(IF($G$27="",$BF$43,$BF$53)^2/(2*9.81))</f>
        <v>19.003722135730765</v>
      </c>
      <c r="AZ80" s="58" t="s">
        <v>29</v>
      </c>
      <c r="BD80" s="58" t="s">
        <v>72</v>
      </c>
      <c r="BE80" s="58" t="s">
        <v>84</v>
      </c>
      <c r="BF80" s="61">
        <f>$I$30</f>
        <v>0</v>
      </c>
      <c r="BG80" s="59" t="s">
        <v>29</v>
      </c>
    </row>
    <row r="81" spans="49:59">
      <c r="BD81" s="58" t="s">
        <v>73</v>
      </c>
      <c r="BE81" s="58" t="s">
        <v>85</v>
      </c>
      <c r="BF81" s="61">
        <f>$O$30</f>
        <v>0</v>
      </c>
      <c r="BG81" s="59" t="s">
        <v>80</v>
      </c>
    </row>
    <row r="82" spans="49:59">
      <c r="AW82" s="58" t="s">
        <v>148</v>
      </c>
      <c r="BD82" s="58" t="s">
        <v>74</v>
      </c>
      <c r="BE82" s="58" t="s">
        <v>86</v>
      </c>
      <c r="BF82" s="60">
        <f>$K$30</f>
        <v>0</v>
      </c>
      <c r="BG82" s="59" t="s">
        <v>79</v>
      </c>
    </row>
    <row r="83" spans="49:59">
      <c r="AW83" s="58" t="s">
        <v>123</v>
      </c>
      <c r="AX83" s="58" t="s">
        <v>124</v>
      </c>
      <c r="AY83" s="60">
        <f>$M$27*10^-3</f>
        <v>5.9999999999999995E-4</v>
      </c>
      <c r="AZ83" s="58" t="s">
        <v>64</v>
      </c>
      <c r="BD83" s="58" t="s">
        <v>75</v>
      </c>
      <c r="BE83" s="58" t="s">
        <v>87</v>
      </c>
      <c r="BF83" s="58" t="e">
        <f>BF82/BF79</f>
        <v>#DIV/0!</v>
      </c>
      <c r="BG83" s="59" t="s">
        <v>81</v>
      </c>
    </row>
    <row r="84" spans="49:59">
      <c r="AW84" s="58" t="s">
        <v>125</v>
      </c>
      <c r="AX84" s="58" t="s">
        <v>126</v>
      </c>
      <c r="AY84" s="58">
        <f>1.31*10^-6</f>
        <v>1.31E-6</v>
      </c>
      <c r="AZ84" s="58" t="s">
        <v>139</v>
      </c>
      <c r="BD84" s="58" t="s">
        <v>76</v>
      </c>
      <c r="BE84" s="58" t="s">
        <v>88</v>
      </c>
      <c r="BF84" s="63">
        <f>BF75+$T$29</f>
        <v>19.770000000000003</v>
      </c>
      <c r="BG84" s="59" t="s">
        <v>29</v>
      </c>
    </row>
    <row r="85" spans="49:59">
      <c r="AW85" s="58" t="s">
        <v>127</v>
      </c>
      <c r="AX85" s="58" t="s">
        <v>128</v>
      </c>
      <c r="AY85" s="58">
        <f>($BF$53*$BF$48/AY84)</f>
        <v>518367.24467589328</v>
      </c>
      <c r="BD85" s="58" t="s">
        <v>77</v>
      </c>
      <c r="BE85" s="58" t="s">
        <v>89</v>
      </c>
      <c r="BF85" s="58">
        <f>BF84+BF80*BF81%</f>
        <v>19.770000000000003</v>
      </c>
      <c r="BG85" s="59" t="s">
        <v>29</v>
      </c>
    </row>
    <row r="86" spans="49:59">
      <c r="AW86" s="58" t="s">
        <v>129</v>
      </c>
      <c r="AX86" s="58" t="s">
        <v>130</v>
      </c>
      <c r="AY86" s="58">
        <f>(1/(-2*LOG10((AY83/(3.7*$BF$48)))+(5.1286/AY85^0.89)))^2</f>
        <v>2.2090294096760582E-2</v>
      </c>
      <c r="AZ86" s="62"/>
      <c r="BG86" s="58"/>
    </row>
    <row r="87" spans="49:59">
      <c r="AW87" s="58" t="s">
        <v>131</v>
      </c>
      <c r="AX87" s="58" t="s">
        <v>132</v>
      </c>
      <c r="AY87" s="58">
        <f>AY86*$BF$53^2/(2*9.81*$BF$48)</f>
        <v>9.8452417510433259E-3</v>
      </c>
      <c r="AZ87" s="58" t="s">
        <v>29</v>
      </c>
      <c r="BD87" s="58" t="s">
        <v>97</v>
      </c>
    </row>
    <row r="88" spans="49:59">
      <c r="AW88" s="58" t="s">
        <v>133</v>
      </c>
      <c r="AX88" s="58" t="s">
        <v>134</v>
      </c>
      <c r="AY88" s="58">
        <f>AY87*$BF$50</f>
        <v>0.49226208755216627</v>
      </c>
      <c r="AZ88" s="58" t="s">
        <v>29</v>
      </c>
      <c r="BD88" s="58" t="s">
        <v>70</v>
      </c>
      <c r="BE88" s="58" t="s">
        <v>82</v>
      </c>
      <c r="BF88" s="60">
        <f>$G$31</f>
        <v>0</v>
      </c>
      <c r="BG88" s="59" t="s">
        <v>29</v>
      </c>
    </row>
    <row r="89" spans="49:59">
      <c r="AW89" s="58" t="s">
        <v>135</v>
      </c>
      <c r="AX89" s="58" t="s">
        <v>136</v>
      </c>
      <c r="AY89" s="58">
        <f>AY80+AY88</f>
        <v>19.495984223282932</v>
      </c>
      <c r="AZ89" s="58" t="s">
        <v>29</v>
      </c>
      <c r="BD89" s="58" t="s">
        <v>71</v>
      </c>
      <c r="BE89" s="58" t="s">
        <v>83</v>
      </c>
      <c r="BF89" s="58">
        <f>PI()*(BF88/2)^2</f>
        <v>0</v>
      </c>
      <c r="BG89" s="59" t="s">
        <v>78</v>
      </c>
    </row>
    <row r="90" spans="49:59">
      <c r="AW90" s="58" t="s">
        <v>137</v>
      </c>
      <c r="AX90" s="58" t="s">
        <v>138</v>
      </c>
      <c r="AY90" s="58">
        <f>AY89-$BF$53^2/(2*9.81)</f>
        <v>19.328853553113056</v>
      </c>
      <c r="AZ90" s="58" t="s">
        <v>29</v>
      </c>
      <c r="BD90" s="58" t="s">
        <v>72</v>
      </c>
      <c r="BE90" s="58" t="s">
        <v>84</v>
      </c>
      <c r="BF90" s="61">
        <f>$I$31</f>
        <v>0</v>
      </c>
      <c r="BG90" s="59" t="s">
        <v>29</v>
      </c>
    </row>
    <row r="91" spans="49:59">
      <c r="BD91" s="58" t="s">
        <v>73</v>
      </c>
      <c r="BE91" s="58" t="s">
        <v>85</v>
      </c>
      <c r="BF91" s="61">
        <f>$O$31</f>
        <v>0</v>
      </c>
      <c r="BG91" s="59" t="s">
        <v>80</v>
      </c>
    </row>
    <row r="92" spans="49:59">
      <c r="AW92" s="58" t="s">
        <v>149</v>
      </c>
      <c r="BD92" s="58" t="s">
        <v>74</v>
      </c>
      <c r="BE92" s="58" t="s">
        <v>86</v>
      </c>
      <c r="BF92" s="60">
        <f>$K$31</f>
        <v>0</v>
      </c>
      <c r="BG92" s="59" t="s">
        <v>79</v>
      </c>
    </row>
    <row r="93" spans="49:59">
      <c r="AW93" s="58" t="s">
        <v>113</v>
      </c>
      <c r="AX93" s="58" t="s">
        <v>115</v>
      </c>
      <c r="AY93" s="63">
        <f>$AF$27</f>
        <v>1</v>
      </c>
      <c r="BD93" s="58" t="s">
        <v>75</v>
      </c>
      <c r="BE93" s="58" t="s">
        <v>87</v>
      </c>
      <c r="BF93" s="58" t="e">
        <f>BF92/BF89</f>
        <v>#DIV/0!</v>
      </c>
      <c r="BG93" s="59" t="s">
        <v>81</v>
      </c>
    </row>
    <row r="94" spans="49:59">
      <c r="AW94" s="58" t="s">
        <v>114</v>
      </c>
      <c r="AX94" s="58" t="s">
        <v>116</v>
      </c>
      <c r="AY94" s="58">
        <f>AY93*($BF$53^2/(2*9.81))</f>
        <v>0.16713067016987576</v>
      </c>
      <c r="BD94" s="58" t="s">
        <v>76</v>
      </c>
      <c r="BE94" s="58" t="s">
        <v>88</v>
      </c>
      <c r="BF94" s="63">
        <f>BF85+$T$30</f>
        <v>19.770000000000003</v>
      </c>
      <c r="BG94" s="59" t="s">
        <v>29</v>
      </c>
    </row>
    <row r="95" spans="49:59">
      <c r="AW95" s="58" t="s">
        <v>117</v>
      </c>
      <c r="AX95" s="58" t="s">
        <v>118</v>
      </c>
      <c r="AY95" s="58">
        <f>AY90+AY94</f>
        <v>19.495984223282932</v>
      </c>
      <c r="AZ95" s="58" t="s">
        <v>29</v>
      </c>
      <c r="BD95" s="58" t="s">
        <v>77</v>
      </c>
      <c r="BE95" s="58" t="s">
        <v>89</v>
      </c>
      <c r="BF95" s="58">
        <f>BF94+BF90*BF91%</f>
        <v>19.770000000000003</v>
      </c>
      <c r="BG95" s="59" t="s">
        <v>29</v>
      </c>
    </row>
    <row r="96" spans="49:59">
      <c r="AW96" s="58" t="s">
        <v>120</v>
      </c>
      <c r="AX96" s="58" t="s">
        <v>121</v>
      </c>
      <c r="AY96" s="58">
        <f>AY95+(IF($G$28="",$BF$53,$BF$63)^2/(2*9.81))</f>
        <v>19.663114893452807</v>
      </c>
      <c r="AZ96" s="58" t="s">
        <v>29</v>
      </c>
      <c r="BG96" s="58"/>
    </row>
    <row r="97" spans="49:59">
      <c r="BD97" s="58" t="s">
        <v>98</v>
      </c>
    </row>
    <row r="98" spans="49:59">
      <c r="AW98" s="58" t="s">
        <v>150</v>
      </c>
      <c r="BD98" s="58" t="s">
        <v>70</v>
      </c>
      <c r="BE98" s="58" t="s">
        <v>82</v>
      </c>
      <c r="BF98" s="60">
        <f>$G$32</f>
        <v>0</v>
      </c>
      <c r="BG98" s="59" t="s">
        <v>29</v>
      </c>
    </row>
    <row r="99" spans="49:59">
      <c r="AW99" s="58" t="s">
        <v>123</v>
      </c>
      <c r="AX99" s="58" t="s">
        <v>124</v>
      </c>
      <c r="AY99" s="60">
        <f>$M$28*10^-3</f>
        <v>5.9999999999999995E-4</v>
      </c>
      <c r="AZ99" s="58" t="s">
        <v>64</v>
      </c>
      <c r="BD99" s="58" t="s">
        <v>71</v>
      </c>
      <c r="BE99" s="58" t="s">
        <v>83</v>
      </c>
      <c r="BF99" s="58">
        <f>PI()*(BF98/2)^2</f>
        <v>0</v>
      </c>
      <c r="BG99" s="59" t="s">
        <v>78</v>
      </c>
    </row>
    <row r="100" spans="49:59">
      <c r="AW100" s="58" t="s">
        <v>125</v>
      </c>
      <c r="AX100" s="58" t="s">
        <v>126</v>
      </c>
      <c r="AY100" s="58">
        <f>1.31*10^-6</f>
        <v>1.31E-6</v>
      </c>
      <c r="AZ100" s="58" t="s">
        <v>139</v>
      </c>
      <c r="BD100" s="58" t="s">
        <v>72</v>
      </c>
      <c r="BE100" s="58" t="s">
        <v>84</v>
      </c>
      <c r="BF100" s="61">
        <f>$I$32</f>
        <v>0</v>
      </c>
      <c r="BG100" s="59" t="s">
        <v>29</v>
      </c>
    </row>
    <row r="101" spans="49:59">
      <c r="AW101" s="58" t="s">
        <v>127</v>
      </c>
      <c r="AX101" s="58" t="s">
        <v>128</v>
      </c>
      <c r="AY101" s="58">
        <f>($BF$63*$BF$58/AY100)</f>
        <v>518367.24467589328</v>
      </c>
      <c r="BD101" s="58" t="s">
        <v>73</v>
      </c>
      <c r="BE101" s="58" t="s">
        <v>85</v>
      </c>
      <c r="BF101" s="61">
        <f>$O$32</f>
        <v>0</v>
      </c>
      <c r="BG101" s="59" t="s">
        <v>80</v>
      </c>
    </row>
    <row r="102" spans="49:59">
      <c r="AW102" s="58" t="s">
        <v>129</v>
      </c>
      <c r="AX102" s="58" t="s">
        <v>130</v>
      </c>
      <c r="AY102" s="58">
        <f>(1/(-2*LOG10((AY99/(3.7*$BF$58)))+(5.1286/AY101^0.89)))^2</f>
        <v>2.2090294096760582E-2</v>
      </c>
      <c r="AZ102" s="62"/>
      <c r="BD102" s="58" t="s">
        <v>74</v>
      </c>
      <c r="BE102" s="58" t="s">
        <v>86</v>
      </c>
      <c r="BF102" s="60">
        <f>$K$32</f>
        <v>0</v>
      </c>
      <c r="BG102" s="59" t="s">
        <v>79</v>
      </c>
    </row>
    <row r="103" spans="49:59">
      <c r="AW103" s="58" t="s">
        <v>131</v>
      </c>
      <c r="AX103" s="58" t="s">
        <v>132</v>
      </c>
      <c r="AY103" s="58">
        <f>AY102*$BF$63^2/(2*9.81*$BF$58)</f>
        <v>9.8452417510433259E-3</v>
      </c>
      <c r="AZ103" s="58" t="s">
        <v>29</v>
      </c>
      <c r="BD103" s="58" t="s">
        <v>75</v>
      </c>
      <c r="BE103" s="58" t="s">
        <v>87</v>
      </c>
      <c r="BF103" s="58" t="e">
        <f>BF102/BF99</f>
        <v>#DIV/0!</v>
      </c>
      <c r="BG103" s="59" t="s">
        <v>81</v>
      </c>
    </row>
    <row r="104" spans="49:59">
      <c r="AW104" s="58" t="s">
        <v>133</v>
      </c>
      <c r="AX104" s="58" t="s">
        <v>134</v>
      </c>
      <c r="AY104" s="58">
        <f>AY103*$BF$60</f>
        <v>0.49226208755216627</v>
      </c>
      <c r="AZ104" s="58" t="s">
        <v>29</v>
      </c>
      <c r="BD104" s="58" t="s">
        <v>76</v>
      </c>
      <c r="BE104" s="58" t="s">
        <v>88</v>
      </c>
      <c r="BF104" s="63">
        <f>BF95+$T$31</f>
        <v>19.770000000000003</v>
      </c>
      <c r="BG104" s="59" t="s">
        <v>29</v>
      </c>
    </row>
    <row r="105" spans="49:59">
      <c r="AW105" s="58" t="s">
        <v>135</v>
      </c>
      <c r="AX105" s="58" t="s">
        <v>136</v>
      </c>
      <c r="AY105" s="58">
        <f>AY96+AY104</f>
        <v>20.155376981004974</v>
      </c>
      <c r="AZ105" s="58" t="s">
        <v>29</v>
      </c>
      <c r="BD105" s="58" t="s">
        <v>77</v>
      </c>
      <c r="BE105" s="58" t="s">
        <v>89</v>
      </c>
      <c r="BF105" s="58">
        <f>BF104+BF100*BF101%</f>
        <v>19.770000000000003</v>
      </c>
      <c r="BG105" s="59" t="s">
        <v>29</v>
      </c>
    </row>
    <row r="106" spans="49:59">
      <c r="AW106" s="58" t="s">
        <v>137</v>
      </c>
      <c r="AX106" s="58" t="s">
        <v>138</v>
      </c>
      <c r="AY106" s="58">
        <f>AY105-$BF$63^2/(2*9.81)</f>
        <v>19.988246310835098</v>
      </c>
      <c r="AZ106" s="58" t="s">
        <v>29</v>
      </c>
    </row>
    <row r="108" spans="49:59">
      <c r="AW108" s="58" t="s">
        <v>151</v>
      </c>
    </row>
    <row r="109" spans="49:59">
      <c r="AW109" s="58" t="s">
        <v>113</v>
      </c>
      <c r="AX109" s="58" t="s">
        <v>115</v>
      </c>
      <c r="AY109" s="63">
        <f>$AF$28</f>
        <v>1</v>
      </c>
    </row>
    <row r="110" spans="49:59">
      <c r="AW110" s="58" t="s">
        <v>114</v>
      </c>
      <c r="AX110" s="58" t="s">
        <v>116</v>
      </c>
      <c r="AY110" s="58">
        <f>AY109*($BF$63^2/(2*9.81))</f>
        <v>0.16713067016987576</v>
      </c>
    </row>
    <row r="111" spans="49:59">
      <c r="AW111" s="58" t="s">
        <v>117</v>
      </c>
      <c r="AX111" s="58" t="s">
        <v>118</v>
      </c>
      <c r="AY111" s="58">
        <f>AY106+AY110</f>
        <v>20.155376981004974</v>
      </c>
      <c r="AZ111" s="58" t="s">
        <v>29</v>
      </c>
    </row>
    <row r="112" spans="49:59">
      <c r="AW112" s="58" t="s">
        <v>120</v>
      </c>
      <c r="AX112" s="58" t="s">
        <v>121</v>
      </c>
      <c r="AY112" s="58">
        <f>AY111+(IF($G$29="",$BF$63,$BF$73)^2/(2*9.81))</f>
        <v>20.322507651174849</v>
      </c>
      <c r="AZ112" s="58" t="s">
        <v>29</v>
      </c>
    </row>
    <row r="114" spans="49:52">
      <c r="AW114" s="58" t="s">
        <v>152</v>
      </c>
    </row>
    <row r="115" spans="49:52">
      <c r="AW115" s="58" t="s">
        <v>123</v>
      </c>
      <c r="AX115" s="58" t="s">
        <v>124</v>
      </c>
      <c r="AY115" s="60">
        <f>$M$29*10^-3</f>
        <v>5.9999999999999995E-4</v>
      </c>
      <c r="AZ115" s="58" t="s">
        <v>64</v>
      </c>
    </row>
    <row r="116" spans="49:52">
      <c r="AW116" s="58" t="s">
        <v>125</v>
      </c>
      <c r="AX116" s="58" t="s">
        <v>126</v>
      </c>
      <c r="AY116" s="58">
        <f>1.31*10^-6</f>
        <v>1.31E-6</v>
      </c>
      <c r="AZ116" s="58" t="s">
        <v>139</v>
      </c>
    </row>
    <row r="117" spans="49:52">
      <c r="AW117" s="58" t="s">
        <v>127</v>
      </c>
      <c r="AX117" s="58" t="s">
        <v>128</v>
      </c>
      <c r="AY117" s="58">
        <f>($BF$73*$BF$68/AY116)</f>
        <v>518367.24467589328</v>
      </c>
    </row>
    <row r="118" spans="49:52">
      <c r="AW118" s="58" t="s">
        <v>129</v>
      </c>
      <c r="AX118" s="58" t="s">
        <v>130</v>
      </c>
      <c r="AY118" s="58">
        <f>(1/(-2*LOG10((AY115/(3.7*$BF$68)))+(5.1286/AY117^0.89)))^2</f>
        <v>2.2090294096760582E-2</v>
      </c>
      <c r="AZ118" s="62"/>
    </row>
    <row r="119" spans="49:52">
      <c r="AW119" s="58" t="s">
        <v>131</v>
      </c>
      <c r="AX119" s="58" t="s">
        <v>132</v>
      </c>
      <c r="AY119" s="58">
        <f>AY118*$BF$73^2/(2*9.81*$BF$68)</f>
        <v>9.8452417510433259E-3</v>
      </c>
      <c r="AZ119" s="58" t="s">
        <v>29</v>
      </c>
    </row>
    <row r="120" spans="49:52">
      <c r="AW120" s="58" t="s">
        <v>133</v>
      </c>
      <c r="AX120" s="58" t="s">
        <v>134</v>
      </c>
      <c r="AY120" s="58">
        <f>AY119*$BF$70</f>
        <v>0.49226208755216627</v>
      </c>
      <c r="AZ120" s="58" t="s">
        <v>29</v>
      </c>
    </row>
    <row r="121" spans="49:52">
      <c r="AW121" s="58" t="s">
        <v>135</v>
      </c>
      <c r="AX121" s="58" t="s">
        <v>136</v>
      </c>
      <c r="AY121" s="58">
        <f>AY112+AY120</f>
        <v>20.814769738727016</v>
      </c>
      <c r="AZ121" s="58" t="s">
        <v>29</v>
      </c>
    </row>
    <row r="122" spans="49:52">
      <c r="AW122" s="58" t="s">
        <v>137</v>
      </c>
      <c r="AX122" s="58" t="s">
        <v>138</v>
      </c>
      <c r="AY122" s="58">
        <f>AY121-$BF$73^2/(2*9.81)</f>
        <v>20.64763906855714</v>
      </c>
      <c r="AZ122" s="58" t="s">
        <v>29</v>
      </c>
    </row>
    <row r="124" spans="49:52">
      <c r="AW124" s="58" t="s">
        <v>153</v>
      </c>
    </row>
    <row r="125" spans="49:52">
      <c r="AW125" s="58" t="s">
        <v>113</v>
      </c>
      <c r="AX125" s="58" t="s">
        <v>115</v>
      </c>
      <c r="AY125" s="63">
        <f>$AF$29</f>
        <v>1</v>
      </c>
    </row>
    <row r="126" spans="49:52">
      <c r="AW126" s="58" t="s">
        <v>114</v>
      </c>
      <c r="AX126" s="58" t="s">
        <v>116</v>
      </c>
      <c r="AY126" s="58">
        <f>AY125*($BF$73^2/(2*9.81))</f>
        <v>0.16713067016987576</v>
      </c>
    </row>
    <row r="127" spans="49:52">
      <c r="AW127" s="58" t="s">
        <v>117</v>
      </c>
      <c r="AX127" s="58" t="s">
        <v>118</v>
      </c>
      <c r="AY127" s="58">
        <f>AY122+AY126</f>
        <v>20.814769738727016</v>
      </c>
      <c r="AZ127" s="58" t="s">
        <v>29</v>
      </c>
    </row>
    <row r="128" spans="49:52">
      <c r="AW128" s="58" t="s">
        <v>120</v>
      </c>
      <c r="AX128" s="58" t="s">
        <v>121</v>
      </c>
      <c r="AY128" s="58">
        <f>AY127+(IF($G$30="",$BF$73,$BF$83)^2/(2*9.81))</f>
        <v>20.981900408896891</v>
      </c>
      <c r="AZ128" s="58" t="s">
        <v>29</v>
      </c>
    </row>
    <row r="130" spans="49:52">
      <c r="AW130" s="58" t="s">
        <v>154</v>
      </c>
    </row>
    <row r="131" spans="49:52">
      <c r="AW131" s="58" t="s">
        <v>123</v>
      </c>
      <c r="AX131" s="58" t="s">
        <v>124</v>
      </c>
      <c r="AY131" s="60">
        <f>$M$30*10^-3</f>
        <v>0</v>
      </c>
      <c r="AZ131" s="58" t="s">
        <v>64</v>
      </c>
    </row>
    <row r="132" spans="49:52">
      <c r="AW132" s="58" t="s">
        <v>125</v>
      </c>
      <c r="AX132" s="58" t="s">
        <v>126</v>
      </c>
      <c r="AY132" s="58">
        <f>1.31*10^-6</f>
        <v>1.31E-6</v>
      </c>
      <c r="AZ132" s="58" t="s">
        <v>139</v>
      </c>
    </row>
    <row r="133" spans="49:52">
      <c r="AW133" s="58" t="s">
        <v>127</v>
      </c>
      <c r="AX133" s="58" t="s">
        <v>128</v>
      </c>
      <c r="AY133" s="58" t="e">
        <f>($BF$83*$BF$78/AY132)</f>
        <v>#DIV/0!</v>
      </c>
    </row>
    <row r="134" spans="49:52">
      <c r="AW134" s="58" t="s">
        <v>129</v>
      </c>
      <c r="AX134" s="58" t="s">
        <v>130</v>
      </c>
      <c r="AY134" s="58" t="e">
        <f>(1/(-2*LOG10((AY131/(3.7*$BF$78)))+(5.1286/AY133^0.89)))^2</f>
        <v>#DIV/0!</v>
      </c>
      <c r="AZ134" s="62"/>
    </row>
    <row r="135" spans="49:52">
      <c r="AW135" s="58" t="s">
        <v>131</v>
      </c>
      <c r="AX135" s="58" t="s">
        <v>132</v>
      </c>
      <c r="AY135" s="58" t="e">
        <f>AY134*$BF$83^2/(2*9.81*$BF$78)</f>
        <v>#DIV/0!</v>
      </c>
      <c r="AZ135" s="58" t="s">
        <v>29</v>
      </c>
    </row>
    <row r="136" spans="49:52">
      <c r="AW136" s="58" t="s">
        <v>133</v>
      </c>
      <c r="AX136" s="58" t="s">
        <v>134</v>
      </c>
      <c r="AY136" s="58" t="e">
        <f>AY135*$BF$80</f>
        <v>#DIV/0!</v>
      </c>
      <c r="AZ136" s="58" t="s">
        <v>29</v>
      </c>
    </row>
    <row r="137" spans="49:52">
      <c r="AW137" s="58" t="s">
        <v>135</v>
      </c>
      <c r="AX137" s="58" t="s">
        <v>136</v>
      </c>
      <c r="AY137" s="58" t="e">
        <f>AY128+AY136</f>
        <v>#DIV/0!</v>
      </c>
      <c r="AZ137" s="58" t="s">
        <v>29</v>
      </c>
    </row>
    <row r="138" spans="49:52">
      <c r="AW138" s="58" t="s">
        <v>137</v>
      </c>
      <c r="AX138" s="58" t="s">
        <v>138</v>
      </c>
      <c r="AY138" s="58" t="e">
        <f>AY137-$BF$83^2/(2*9.81)</f>
        <v>#DIV/0!</v>
      </c>
      <c r="AZ138" s="58" t="s">
        <v>29</v>
      </c>
    </row>
    <row r="140" spans="49:52">
      <c r="AW140" s="58" t="s">
        <v>155</v>
      </c>
    </row>
    <row r="141" spans="49:52">
      <c r="AW141" s="58" t="s">
        <v>113</v>
      </c>
      <c r="AX141" s="58" t="s">
        <v>115</v>
      </c>
      <c r="AY141" s="63">
        <f>$AF$30</f>
        <v>0</v>
      </c>
    </row>
    <row r="142" spans="49:52">
      <c r="AW142" s="58" t="s">
        <v>114</v>
      </c>
      <c r="AX142" s="58" t="s">
        <v>116</v>
      </c>
      <c r="AY142" s="58" t="e">
        <f>AY141*($BF$83^2/(2*9.81))</f>
        <v>#DIV/0!</v>
      </c>
    </row>
    <row r="143" spans="49:52">
      <c r="AW143" s="58" t="s">
        <v>117</v>
      </c>
      <c r="AX143" s="58" t="s">
        <v>118</v>
      </c>
      <c r="AY143" s="58" t="e">
        <f>AY138+AY142</f>
        <v>#DIV/0!</v>
      </c>
      <c r="AZ143" s="58" t="s">
        <v>29</v>
      </c>
    </row>
    <row r="144" spans="49:52">
      <c r="AW144" s="58" t="s">
        <v>120</v>
      </c>
      <c r="AX144" s="58" t="s">
        <v>121</v>
      </c>
      <c r="AY144" s="58" t="e">
        <f>AY143+(IF($G$31="",$BF$83,$BF$93)^2/(2*9.81))</f>
        <v>#DIV/0!</v>
      </c>
      <c r="AZ144" s="58" t="s">
        <v>29</v>
      </c>
    </row>
    <row r="146" spans="49:52">
      <c r="AW146" s="58" t="s">
        <v>156</v>
      </c>
    </row>
    <row r="147" spans="49:52">
      <c r="AW147" s="58" t="s">
        <v>123</v>
      </c>
      <c r="AX147" s="58" t="s">
        <v>124</v>
      </c>
      <c r="AY147" s="60">
        <f>$M$31*10^-3</f>
        <v>0</v>
      </c>
      <c r="AZ147" s="58" t="s">
        <v>64</v>
      </c>
    </row>
    <row r="148" spans="49:52">
      <c r="AW148" s="58" t="s">
        <v>125</v>
      </c>
      <c r="AX148" s="58" t="s">
        <v>126</v>
      </c>
      <c r="AY148" s="58">
        <f>1.31*10^-6</f>
        <v>1.31E-6</v>
      </c>
      <c r="AZ148" s="58" t="s">
        <v>139</v>
      </c>
    </row>
    <row r="149" spans="49:52">
      <c r="AW149" s="58" t="s">
        <v>127</v>
      </c>
      <c r="AX149" s="58" t="s">
        <v>128</v>
      </c>
      <c r="AY149" s="58" t="e">
        <f>($BF$93*$BF$88/AY148)</f>
        <v>#DIV/0!</v>
      </c>
    </row>
    <row r="150" spans="49:52">
      <c r="AW150" s="58" t="s">
        <v>129</v>
      </c>
      <c r="AX150" s="58" t="s">
        <v>130</v>
      </c>
      <c r="AY150" s="58" t="e">
        <f>(1/(-2*LOG10((AY147/(3.7*$BF$88)))+(5.1286/AY149^0.89)))^2</f>
        <v>#DIV/0!</v>
      </c>
      <c r="AZ150" s="62"/>
    </row>
    <row r="151" spans="49:52">
      <c r="AW151" s="58" t="s">
        <v>131</v>
      </c>
      <c r="AX151" s="58" t="s">
        <v>132</v>
      </c>
      <c r="AY151" s="58" t="e">
        <f>AY150*$BF$93^2/(2*9.81*$BF$88)</f>
        <v>#DIV/0!</v>
      </c>
      <c r="AZ151" s="58" t="s">
        <v>29</v>
      </c>
    </row>
    <row r="152" spans="49:52">
      <c r="AW152" s="58" t="s">
        <v>133</v>
      </c>
      <c r="AX152" s="58" t="s">
        <v>134</v>
      </c>
      <c r="AY152" s="58" t="e">
        <f>AY151*$BF$90</f>
        <v>#DIV/0!</v>
      </c>
      <c r="AZ152" s="58" t="s">
        <v>29</v>
      </c>
    </row>
    <row r="153" spans="49:52">
      <c r="AW153" s="58" t="s">
        <v>135</v>
      </c>
      <c r="AX153" s="58" t="s">
        <v>136</v>
      </c>
      <c r="AY153" s="58" t="e">
        <f>AY144+AY152</f>
        <v>#DIV/0!</v>
      </c>
      <c r="AZ153" s="58" t="s">
        <v>29</v>
      </c>
    </row>
    <row r="154" spans="49:52">
      <c r="AW154" s="58" t="s">
        <v>137</v>
      </c>
      <c r="AX154" s="58" t="s">
        <v>138</v>
      </c>
      <c r="AY154" s="58" t="e">
        <f>AY153-$BF$93^2/(2*9.81)</f>
        <v>#DIV/0!</v>
      </c>
      <c r="AZ154" s="58" t="s">
        <v>29</v>
      </c>
    </row>
    <row r="156" spans="49:52">
      <c r="AW156" s="58" t="s">
        <v>157</v>
      </c>
    </row>
    <row r="157" spans="49:52">
      <c r="AW157" s="58" t="s">
        <v>113</v>
      </c>
      <c r="AX157" s="58" t="s">
        <v>115</v>
      </c>
      <c r="AY157" s="63">
        <f>$AF$31</f>
        <v>0</v>
      </c>
    </row>
    <row r="158" spans="49:52">
      <c r="AW158" s="58" t="s">
        <v>114</v>
      </c>
      <c r="AX158" s="58" t="s">
        <v>116</v>
      </c>
      <c r="AY158" s="58" t="e">
        <f>AY157*($BF$93^2/(2*9.81))</f>
        <v>#DIV/0!</v>
      </c>
    </row>
    <row r="159" spans="49:52">
      <c r="AW159" s="58" t="s">
        <v>117</v>
      </c>
      <c r="AX159" s="58" t="s">
        <v>118</v>
      </c>
      <c r="AY159" s="58" t="e">
        <f>AY154+AY158</f>
        <v>#DIV/0!</v>
      </c>
      <c r="AZ159" s="58" t="s">
        <v>29</v>
      </c>
    </row>
    <row r="160" spans="49:52">
      <c r="AW160" s="58" t="s">
        <v>120</v>
      </c>
      <c r="AX160" s="58" t="s">
        <v>121</v>
      </c>
      <c r="AY160" s="58" t="e">
        <f>AY159+(IF($G$32="",$BF$93,$BF$103)^2/(2*9.81))</f>
        <v>#DIV/0!</v>
      </c>
      <c r="AZ160" s="58" t="s">
        <v>29</v>
      </c>
    </row>
    <row r="162" spans="49:52">
      <c r="AW162" s="58" t="s">
        <v>158</v>
      </c>
    </row>
    <row r="163" spans="49:52">
      <c r="AW163" s="58" t="s">
        <v>123</v>
      </c>
      <c r="AX163" s="58" t="s">
        <v>124</v>
      </c>
      <c r="AY163" s="60">
        <f>$M$32*10^-3</f>
        <v>0</v>
      </c>
      <c r="AZ163" s="58" t="s">
        <v>64</v>
      </c>
    </row>
    <row r="164" spans="49:52">
      <c r="AW164" s="58" t="s">
        <v>125</v>
      </c>
      <c r="AX164" s="58" t="s">
        <v>126</v>
      </c>
      <c r="AY164" s="58">
        <f>1.31*10^-6</f>
        <v>1.31E-6</v>
      </c>
      <c r="AZ164" s="58" t="s">
        <v>139</v>
      </c>
    </row>
    <row r="165" spans="49:52">
      <c r="AW165" s="58" t="s">
        <v>127</v>
      </c>
      <c r="AX165" s="58" t="s">
        <v>128</v>
      </c>
      <c r="AY165" s="58" t="e">
        <f>($BF$103*$BF$98/AY164)</f>
        <v>#DIV/0!</v>
      </c>
    </row>
    <row r="166" spans="49:52">
      <c r="AW166" s="58" t="s">
        <v>129</v>
      </c>
      <c r="AX166" s="58" t="s">
        <v>130</v>
      </c>
      <c r="AY166" s="58" t="e">
        <f>(1/(-2*LOG10((AY163/(3.7*$BF$98)))+(5.1286/AY165^0.89)))^2</f>
        <v>#DIV/0!</v>
      </c>
      <c r="AZ166" s="62"/>
    </row>
    <row r="167" spans="49:52">
      <c r="AW167" s="58" t="s">
        <v>131</v>
      </c>
      <c r="AX167" s="58" t="s">
        <v>132</v>
      </c>
      <c r="AY167" s="58" t="e">
        <f>AY166*$BF$103^2/(2*9.81*$BF$98)</f>
        <v>#DIV/0!</v>
      </c>
      <c r="AZ167" s="58" t="s">
        <v>29</v>
      </c>
    </row>
    <row r="168" spans="49:52">
      <c r="AW168" s="58" t="s">
        <v>133</v>
      </c>
      <c r="AX168" s="58" t="s">
        <v>134</v>
      </c>
      <c r="AY168" s="58" t="e">
        <f>AY167*$BF$100</f>
        <v>#DIV/0!</v>
      </c>
      <c r="AZ168" s="58" t="s">
        <v>29</v>
      </c>
    </row>
    <row r="169" spans="49:52">
      <c r="AW169" s="58" t="s">
        <v>135</v>
      </c>
      <c r="AX169" s="58" t="s">
        <v>136</v>
      </c>
      <c r="AY169" s="58" t="e">
        <f>AY160+AY168</f>
        <v>#DIV/0!</v>
      </c>
      <c r="AZ169" s="58" t="s">
        <v>29</v>
      </c>
    </row>
    <row r="170" spans="49:52">
      <c r="AW170" s="58" t="s">
        <v>137</v>
      </c>
      <c r="AX170" s="58" t="s">
        <v>138</v>
      </c>
      <c r="AY170" s="58" t="e">
        <f>AY169-$BF$103^2/(2*9.81)</f>
        <v>#DIV/0!</v>
      </c>
      <c r="AZ170" s="58" t="s">
        <v>29</v>
      </c>
    </row>
    <row r="172" spans="49:52">
      <c r="AW172" s="58" t="s">
        <v>159</v>
      </c>
    </row>
    <row r="173" spans="49:52">
      <c r="AW173" s="58" t="s">
        <v>113</v>
      </c>
      <c r="AX173" s="58" t="s">
        <v>115</v>
      </c>
      <c r="AY173" s="63">
        <f>$AF$32</f>
        <v>0</v>
      </c>
    </row>
    <row r="174" spans="49:52">
      <c r="AW174" s="58" t="s">
        <v>114</v>
      </c>
      <c r="AX174" s="58" t="s">
        <v>116</v>
      </c>
      <c r="AY174" s="58" t="e">
        <f>AY173*($BF$103^2/(2*9.81))</f>
        <v>#DIV/0!</v>
      </c>
    </row>
    <row r="175" spans="49:52">
      <c r="AW175" s="58" t="s">
        <v>117</v>
      </c>
      <c r="AX175" s="58" t="s">
        <v>118</v>
      </c>
      <c r="AY175" s="58" t="e">
        <f>AY170+AY174</f>
        <v>#DIV/0!</v>
      </c>
      <c r="AZ175" s="58" t="s">
        <v>29</v>
      </c>
    </row>
    <row r="176" spans="49:52">
      <c r="AW176" s="58" t="s">
        <v>120</v>
      </c>
      <c r="AX176" s="58" t="s">
        <v>121</v>
      </c>
      <c r="AY176" s="58" t="e">
        <f>AY175+($BF$103^2/(2*9.81))</f>
        <v>#DIV/0!</v>
      </c>
      <c r="AZ176" s="58" t="s">
        <v>29</v>
      </c>
    </row>
  </sheetData>
  <sheetProtection algorithmName="SHA-512" hashValue="G897JqrKJ5+NwQf1b0io+vVWOqmw1lApii1m9IWXBLIyxGMa7U6QVkpS6E+BIL2Q9qub5/IcvPfE8cqgy4Fp3g==" saltValue="Gzou5amvVHFAeJwTdUom/Q==" spinCount="100000" sheet="1" objects="1" scenarios="1" selectLockedCells="1"/>
  <mergeCells count="315">
    <mergeCell ref="B1:F1"/>
    <mergeCell ref="G1:AE1"/>
    <mergeCell ref="AB9:AD9"/>
    <mergeCell ref="Y9:AA9"/>
    <mergeCell ref="W9:X9"/>
    <mergeCell ref="B2:F5"/>
    <mergeCell ref="G2:L2"/>
    <mergeCell ref="M2:AE2"/>
    <mergeCell ref="AF2:AJ2"/>
    <mergeCell ref="G3:L3"/>
    <mergeCell ref="M3:AE3"/>
    <mergeCell ref="AF3:AJ3"/>
    <mergeCell ref="G4:AE4"/>
    <mergeCell ref="AF4:AJ4"/>
    <mergeCell ref="G5:L5"/>
    <mergeCell ref="M5:S5"/>
    <mergeCell ref="T5:Y5"/>
    <mergeCell ref="AF1:AJ1"/>
    <mergeCell ref="M23:N23"/>
    <mergeCell ref="M24:N24"/>
    <mergeCell ref="K21:L22"/>
    <mergeCell ref="K23:L23"/>
    <mergeCell ref="H9:V9"/>
    <mergeCell ref="Z5:AE5"/>
    <mergeCell ref="AF5:AJ5"/>
    <mergeCell ref="W12:X12"/>
    <mergeCell ref="Y12:AA12"/>
    <mergeCell ref="AB12:AD12"/>
    <mergeCell ref="H10:V10"/>
    <mergeCell ref="H11:V11"/>
    <mergeCell ref="H12:V12"/>
    <mergeCell ref="W10:X10"/>
    <mergeCell ref="Y10:AA10"/>
    <mergeCell ref="AB10:AD10"/>
    <mergeCell ref="W11:X11"/>
    <mergeCell ref="Y11:AA11"/>
    <mergeCell ref="AB11:AD11"/>
    <mergeCell ref="G21:H22"/>
    <mergeCell ref="G23:H23"/>
    <mergeCell ref="G24:H24"/>
    <mergeCell ref="H16:V16"/>
    <mergeCell ref="G25:H25"/>
    <mergeCell ref="G26:H26"/>
    <mergeCell ref="G27:H27"/>
    <mergeCell ref="G28:H28"/>
    <mergeCell ref="W16:AD16"/>
    <mergeCell ref="H17:V17"/>
    <mergeCell ref="W17:X17"/>
    <mergeCell ref="Y17:AA17"/>
    <mergeCell ref="AB17:AD17"/>
    <mergeCell ref="H18:V18"/>
    <mergeCell ref="W18:X18"/>
    <mergeCell ref="Q23:S23"/>
    <mergeCell ref="Q21:S22"/>
    <mergeCell ref="O21:P22"/>
    <mergeCell ref="O23:P23"/>
    <mergeCell ref="O24:P24"/>
    <mergeCell ref="AB19:AD19"/>
    <mergeCell ref="I21:J22"/>
    <mergeCell ref="I23:J23"/>
    <mergeCell ref="I24:J24"/>
    <mergeCell ref="M21:N22"/>
    <mergeCell ref="K24:L24"/>
    <mergeCell ref="K25:L25"/>
    <mergeCell ref="K26:L26"/>
    <mergeCell ref="E21:F22"/>
    <mergeCell ref="E25:F25"/>
    <mergeCell ref="E26:F26"/>
    <mergeCell ref="E27:F27"/>
    <mergeCell ref="E28:F28"/>
    <mergeCell ref="E29:F29"/>
    <mergeCell ref="E30:F30"/>
    <mergeCell ref="E31:F31"/>
    <mergeCell ref="E32:F32"/>
    <mergeCell ref="E23:F23"/>
    <mergeCell ref="E24:F24"/>
    <mergeCell ref="K27:L27"/>
    <mergeCell ref="K28:L28"/>
    <mergeCell ref="K29:L29"/>
    <mergeCell ref="G29:H29"/>
    <mergeCell ref="G30:H30"/>
    <mergeCell ref="G31:H31"/>
    <mergeCell ref="AF29:AG29"/>
    <mergeCell ref="M30:N30"/>
    <mergeCell ref="M31:N31"/>
    <mergeCell ref="O31:P31"/>
    <mergeCell ref="M25:N25"/>
    <mergeCell ref="M26:N26"/>
    <mergeCell ref="M27:N27"/>
    <mergeCell ref="T32:U32"/>
    <mergeCell ref="Q25:S25"/>
    <mergeCell ref="Q26:S26"/>
    <mergeCell ref="Q27:S27"/>
    <mergeCell ref="Q28:S28"/>
    <mergeCell ref="T25:U25"/>
    <mergeCell ref="T26:U26"/>
    <mergeCell ref="T27:U27"/>
    <mergeCell ref="T28:U28"/>
    <mergeCell ref="T31:U31"/>
    <mergeCell ref="M28:N28"/>
    <mergeCell ref="M29:N29"/>
    <mergeCell ref="O25:P25"/>
    <mergeCell ref="O26:P26"/>
    <mergeCell ref="O27:P27"/>
    <mergeCell ref="T30:U30"/>
    <mergeCell ref="H45:J45"/>
    <mergeCell ref="P40:R40"/>
    <mergeCell ref="P41:R41"/>
    <mergeCell ref="T23:U23"/>
    <mergeCell ref="T24:U24"/>
    <mergeCell ref="AF30:AG30"/>
    <mergeCell ref="AF21:AG22"/>
    <mergeCell ref="AF23:AG23"/>
    <mergeCell ref="AF24:AG24"/>
    <mergeCell ref="AF25:AG25"/>
    <mergeCell ref="V27:AE27"/>
    <mergeCell ref="V28:AE28"/>
    <mergeCell ref="V29:AE29"/>
    <mergeCell ref="V30:AE30"/>
    <mergeCell ref="AF31:AG31"/>
    <mergeCell ref="AF32:AG32"/>
    <mergeCell ref="V23:AE23"/>
    <mergeCell ref="V24:AE24"/>
    <mergeCell ref="V25:AE25"/>
    <mergeCell ref="V26:AE26"/>
    <mergeCell ref="AF26:AG26"/>
    <mergeCell ref="AF27:AG27"/>
    <mergeCell ref="AF28:AG28"/>
    <mergeCell ref="T29:U29"/>
    <mergeCell ref="H53:J53"/>
    <mergeCell ref="H42:J42"/>
    <mergeCell ref="H43:J43"/>
    <mergeCell ref="H44:J44"/>
    <mergeCell ref="H50:J51"/>
    <mergeCell ref="V31:AE31"/>
    <mergeCell ref="Y19:AA19"/>
    <mergeCell ref="Y18:AA18"/>
    <mergeCell ref="AB18:AD18"/>
    <mergeCell ref="I30:J30"/>
    <mergeCell ref="I31:J31"/>
    <mergeCell ref="I32:J32"/>
    <mergeCell ref="K31:L31"/>
    <mergeCell ref="K32:L32"/>
    <mergeCell ref="I25:J25"/>
    <mergeCell ref="I26:J26"/>
    <mergeCell ref="I27:J27"/>
    <mergeCell ref="I28:J28"/>
    <mergeCell ref="I29:J29"/>
    <mergeCell ref="Q24:S24"/>
    <mergeCell ref="K30:L30"/>
    <mergeCell ref="O28:P28"/>
    <mergeCell ref="O29:P29"/>
    <mergeCell ref="O30:P30"/>
    <mergeCell ref="H54:J54"/>
    <mergeCell ref="H19:V19"/>
    <mergeCell ref="W19:X19"/>
    <mergeCell ref="V32:AE32"/>
    <mergeCell ref="V21:AE22"/>
    <mergeCell ref="Q29:S29"/>
    <mergeCell ref="Q30:S30"/>
    <mergeCell ref="Q31:S31"/>
    <mergeCell ref="Q32:S32"/>
    <mergeCell ref="T21:U22"/>
    <mergeCell ref="K47:L47"/>
    <mergeCell ref="K48:L48"/>
    <mergeCell ref="M36:O37"/>
    <mergeCell ref="M38:O38"/>
    <mergeCell ref="M39:O39"/>
    <mergeCell ref="M40:O40"/>
    <mergeCell ref="M41:O41"/>
    <mergeCell ref="M42:O42"/>
    <mergeCell ref="M43:O43"/>
    <mergeCell ref="M44:O44"/>
    <mergeCell ref="H46:J46"/>
    <mergeCell ref="H47:J47"/>
    <mergeCell ref="H48:J48"/>
    <mergeCell ref="H52:J52"/>
    <mergeCell ref="K40:L40"/>
    <mergeCell ref="K41:L41"/>
    <mergeCell ref="H38:J38"/>
    <mergeCell ref="H39:J39"/>
    <mergeCell ref="H40:J40"/>
    <mergeCell ref="H41:J41"/>
    <mergeCell ref="S39:U39"/>
    <mergeCell ref="S40:U40"/>
    <mergeCell ref="G32:H32"/>
    <mergeCell ref="S41:U41"/>
    <mergeCell ref="H36:J37"/>
    <mergeCell ref="P36:R37"/>
    <mergeCell ref="P38:R38"/>
    <mergeCell ref="P39:R39"/>
    <mergeCell ref="K36:L37"/>
    <mergeCell ref="K38:L38"/>
    <mergeCell ref="K39:L39"/>
    <mergeCell ref="M32:N32"/>
    <mergeCell ref="O32:P32"/>
    <mergeCell ref="K52:M52"/>
    <mergeCell ref="N52:P52"/>
    <mergeCell ref="Q52:S52"/>
    <mergeCell ref="M48:O48"/>
    <mergeCell ref="K42:L42"/>
    <mergeCell ref="K43:L43"/>
    <mergeCell ref="K44:L44"/>
    <mergeCell ref="K45:L45"/>
    <mergeCell ref="K46:L46"/>
    <mergeCell ref="P44:R44"/>
    <mergeCell ref="P45:R45"/>
    <mergeCell ref="P46:R46"/>
    <mergeCell ref="M45:O45"/>
    <mergeCell ref="M46:O46"/>
    <mergeCell ref="M47:O47"/>
    <mergeCell ref="K50:M51"/>
    <mergeCell ref="N50:P51"/>
    <mergeCell ref="Q50:S51"/>
    <mergeCell ref="S42:U42"/>
    <mergeCell ref="S43:U43"/>
    <mergeCell ref="S44:U44"/>
    <mergeCell ref="S45:U45"/>
    <mergeCell ref="P42:R42"/>
    <mergeCell ref="P43:R43"/>
    <mergeCell ref="P47:R47"/>
    <mergeCell ref="P48:R48"/>
    <mergeCell ref="S36:U37"/>
    <mergeCell ref="S38:U38"/>
    <mergeCell ref="AF43:AJ43"/>
    <mergeCell ref="AF44:AJ44"/>
    <mergeCell ref="AF45:AJ45"/>
    <mergeCell ref="AF47:AJ47"/>
    <mergeCell ref="AF46:AJ46"/>
    <mergeCell ref="AF38:AJ38"/>
    <mergeCell ref="AF39:AJ39"/>
    <mergeCell ref="AF40:AJ40"/>
    <mergeCell ref="T50:V51"/>
    <mergeCell ref="W52:Y52"/>
    <mergeCell ref="T52:V52"/>
    <mergeCell ref="Z54:AB54"/>
    <mergeCell ref="AF54:AJ54"/>
    <mergeCell ref="W50:Y51"/>
    <mergeCell ref="Z50:AB51"/>
    <mergeCell ref="AF48:AJ48"/>
    <mergeCell ref="AF41:AJ41"/>
    <mergeCell ref="AF42:AJ42"/>
    <mergeCell ref="S46:U46"/>
    <mergeCell ref="S47:U47"/>
    <mergeCell ref="S48:U48"/>
    <mergeCell ref="Z52:AB52"/>
    <mergeCell ref="AF52:AJ52"/>
    <mergeCell ref="K54:M54"/>
    <mergeCell ref="N54:P54"/>
    <mergeCell ref="Q54:S54"/>
    <mergeCell ref="W53:Y53"/>
    <mergeCell ref="T53:V53"/>
    <mergeCell ref="Z53:AB53"/>
    <mergeCell ref="AF53:AJ53"/>
    <mergeCell ref="K53:M53"/>
    <mergeCell ref="Q55:S55"/>
    <mergeCell ref="W54:Y54"/>
    <mergeCell ref="T54:V54"/>
    <mergeCell ref="N53:P53"/>
    <mergeCell ref="Q53:S53"/>
    <mergeCell ref="Q56:S56"/>
    <mergeCell ref="H55:J55"/>
    <mergeCell ref="W55:Y55"/>
    <mergeCell ref="T55:V55"/>
    <mergeCell ref="Z55:AB55"/>
    <mergeCell ref="AF55:AJ55"/>
    <mergeCell ref="H56:J56"/>
    <mergeCell ref="W56:Y56"/>
    <mergeCell ref="T56:V56"/>
    <mergeCell ref="Z56:AB56"/>
    <mergeCell ref="AF56:AJ56"/>
    <mergeCell ref="K55:M55"/>
    <mergeCell ref="K56:M56"/>
    <mergeCell ref="N55:P55"/>
    <mergeCell ref="N56:P56"/>
    <mergeCell ref="AF61:AJ61"/>
    <mergeCell ref="K61:M61"/>
    <mergeCell ref="N61:P61"/>
    <mergeCell ref="Q61:S61"/>
    <mergeCell ref="H61:J61"/>
    <mergeCell ref="W61:Y61"/>
    <mergeCell ref="T61:V61"/>
    <mergeCell ref="Z61:AB61"/>
    <mergeCell ref="Q57:S57"/>
    <mergeCell ref="Q58:S58"/>
    <mergeCell ref="H57:J57"/>
    <mergeCell ref="W57:Y57"/>
    <mergeCell ref="T57:V57"/>
    <mergeCell ref="Z57:AB57"/>
    <mergeCell ref="AF57:AJ57"/>
    <mergeCell ref="H58:J58"/>
    <mergeCell ref="W58:Y58"/>
    <mergeCell ref="T58:V58"/>
    <mergeCell ref="Z58:AB58"/>
    <mergeCell ref="AF58:AJ58"/>
    <mergeCell ref="K57:M57"/>
    <mergeCell ref="K58:M58"/>
    <mergeCell ref="N57:P57"/>
    <mergeCell ref="N58:P58"/>
    <mergeCell ref="Q59:S59"/>
    <mergeCell ref="Q60:S60"/>
    <mergeCell ref="H59:J59"/>
    <mergeCell ref="W59:Y59"/>
    <mergeCell ref="T59:V59"/>
    <mergeCell ref="Z59:AB59"/>
    <mergeCell ref="AF59:AJ59"/>
    <mergeCell ref="H60:J60"/>
    <mergeCell ref="W60:Y60"/>
    <mergeCell ref="T60:V60"/>
    <mergeCell ref="Z60:AB60"/>
    <mergeCell ref="AF60:AJ60"/>
    <mergeCell ref="K59:M59"/>
    <mergeCell ref="K60:M60"/>
    <mergeCell ref="N59:P59"/>
    <mergeCell ref="N60:P60"/>
  </mergeCells>
  <conditionalFormatting sqref="AF38:AJ48 AF52:AJ61">
    <cfRule type="cellIs" dxfId="3" priority="1" operator="equal">
      <formula>"HGL Too High"</formula>
    </cfRule>
    <cfRule type="expression" dxfId="2" priority="2">
      <formula>#REF!="Too Small"</formula>
    </cfRule>
  </conditionalFormatting>
  <dataValidations count="2">
    <dataValidation type="list" allowBlank="1" showInputMessage="1" showErrorMessage="1" sqref="W16:AD16" xr:uid="{B2257FB0-53BE-4CF3-AE6E-9E61ECD1E800}">
      <formula1>$AL$71:$AL$72</formula1>
    </dataValidation>
    <dataValidation type="list" allowBlank="1" showInputMessage="1" showErrorMessage="1" sqref="V23:AE32" xr:uid="{D2B49BE0-EB97-40D4-B71D-CE377BFA7CD1}">
      <formula1>$AL$3:$AL$63</formula1>
    </dataValidation>
  </dataValidations>
  <pageMargins left="0.7" right="0.7" top="0.75" bottom="0.75" header="0.3" footer="0.3"/>
  <pageSetup paperSize="9" scale="67" orientation="portrait" r:id="rId1"/>
  <headerFooter>
    <oddHeader>&amp;C&amp;"-,Bold"&amp;UColebrook-White Calculation</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D0575-813F-4537-858B-F53881EDC9A3}">
  <dimension ref="A1:BX176"/>
  <sheetViews>
    <sheetView tabSelected="1" view="pageBreakPreview" topLeftCell="A17" zoomScaleNormal="55" zoomScaleSheetLayoutView="100" workbookViewId="0">
      <selection activeCell="V21" sqref="V21:AE22"/>
    </sheetView>
  </sheetViews>
  <sheetFormatPr defaultColWidth="9.109375" defaultRowHeight="14.4"/>
  <cols>
    <col min="1" max="1" width="1" style="58" customWidth="1"/>
    <col min="2" max="36" width="2.44140625" style="58" customWidth="1"/>
    <col min="37" max="37" width="8.77734375" style="58" customWidth="1"/>
    <col min="38" max="53" width="8.77734375" style="58" hidden="1" customWidth="1"/>
    <col min="54" max="54" width="9.109375" style="58" hidden="1" customWidth="1"/>
    <col min="55" max="55" width="39.109375" style="58" hidden="1" customWidth="1"/>
    <col min="56" max="56" width="5.5546875" style="58" hidden="1" customWidth="1"/>
    <col min="57" max="65" width="9.109375" style="58" hidden="1" customWidth="1"/>
    <col min="66" max="66" width="21.44140625" style="58" hidden="1" customWidth="1"/>
    <col min="67" max="72" width="9.109375" style="58" hidden="1" customWidth="1"/>
    <col min="73" max="73" width="17.5546875" style="58" hidden="1" customWidth="1"/>
    <col min="74" max="75" width="9.109375" style="58" hidden="1" customWidth="1"/>
    <col min="76" max="76" width="0" style="59" hidden="1" customWidth="1"/>
    <col min="77" max="16384" width="9.109375" style="59"/>
  </cols>
  <sheetData>
    <row r="1" spans="2:76" ht="15" thickBot="1">
      <c r="B1" s="142" t="s">
        <v>7</v>
      </c>
      <c r="C1" s="143"/>
      <c r="D1" s="143"/>
      <c r="E1" s="143"/>
      <c r="F1" s="143"/>
      <c r="G1" s="144" t="s">
        <v>237</v>
      </c>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2" t="s">
        <v>23</v>
      </c>
      <c r="AG1" s="143"/>
      <c r="AH1" s="143"/>
      <c r="AI1" s="143"/>
      <c r="AJ1" s="143"/>
      <c r="AK1" s="64"/>
      <c r="AL1" s="64"/>
      <c r="AM1" s="64"/>
      <c r="AN1" s="64"/>
      <c r="AO1" s="64"/>
      <c r="AP1" s="64"/>
      <c r="AQ1" s="64"/>
      <c r="AR1" s="64"/>
      <c r="AS1" s="64"/>
      <c r="AT1" s="64"/>
      <c r="AU1" s="64"/>
      <c r="AV1" s="64"/>
      <c r="AW1" s="64"/>
      <c r="AX1" s="64"/>
      <c r="AY1" s="64"/>
      <c r="AZ1" s="64"/>
      <c r="BA1" s="64"/>
    </row>
    <row r="2" spans="2:76">
      <c r="B2" s="202" t="s">
        <v>0</v>
      </c>
      <c r="C2" s="203"/>
      <c r="D2" s="203"/>
      <c r="E2" s="203"/>
      <c r="F2" s="204"/>
      <c r="G2" s="211" t="s">
        <v>1</v>
      </c>
      <c r="H2" s="212"/>
      <c r="I2" s="212"/>
      <c r="J2" s="212"/>
      <c r="K2" s="212"/>
      <c r="L2" s="212"/>
      <c r="M2" s="213"/>
      <c r="N2" s="214"/>
      <c r="O2" s="214"/>
      <c r="P2" s="214"/>
      <c r="Q2" s="214"/>
      <c r="R2" s="214"/>
      <c r="S2" s="214"/>
      <c r="T2" s="214"/>
      <c r="U2" s="214"/>
      <c r="V2" s="214"/>
      <c r="W2" s="214"/>
      <c r="X2" s="214"/>
      <c r="Y2" s="214"/>
      <c r="Z2" s="214"/>
      <c r="AA2" s="214"/>
      <c r="AB2" s="214"/>
      <c r="AC2" s="214"/>
      <c r="AD2" s="214"/>
      <c r="AE2" s="215"/>
      <c r="AF2" s="216" t="s">
        <v>2</v>
      </c>
      <c r="AG2" s="212"/>
      <c r="AH2" s="212"/>
      <c r="AI2" s="212"/>
      <c r="AJ2" s="217"/>
      <c r="AK2" s="65"/>
      <c r="AL2" s="65"/>
      <c r="AM2" s="65"/>
      <c r="AN2" s="65"/>
      <c r="AO2" s="65"/>
      <c r="AP2" s="65"/>
      <c r="AQ2" s="65"/>
      <c r="AR2" s="65"/>
      <c r="AS2" s="65"/>
      <c r="AT2" s="65"/>
      <c r="AU2" s="65"/>
      <c r="AV2" s="65"/>
      <c r="AW2" s="65"/>
      <c r="AX2" s="65"/>
      <c r="AY2" s="65"/>
      <c r="AZ2" s="65"/>
      <c r="BA2" s="65"/>
      <c r="BN2" s="58" t="s">
        <v>103</v>
      </c>
    </row>
    <row r="3" spans="2:76">
      <c r="B3" s="205"/>
      <c r="C3" s="206"/>
      <c r="D3" s="206"/>
      <c r="E3" s="206"/>
      <c r="F3" s="207"/>
      <c r="G3" s="157" t="s">
        <v>3</v>
      </c>
      <c r="H3" s="158"/>
      <c r="I3" s="158"/>
      <c r="J3" s="158"/>
      <c r="K3" s="158"/>
      <c r="L3" s="159"/>
      <c r="M3" s="160" t="s">
        <v>22</v>
      </c>
      <c r="N3" s="161"/>
      <c r="O3" s="161"/>
      <c r="P3" s="161"/>
      <c r="Q3" s="161"/>
      <c r="R3" s="161"/>
      <c r="S3" s="161"/>
      <c r="T3" s="161"/>
      <c r="U3" s="161"/>
      <c r="V3" s="161"/>
      <c r="W3" s="161"/>
      <c r="X3" s="161"/>
      <c r="Y3" s="161"/>
      <c r="Z3" s="161"/>
      <c r="AA3" s="161"/>
      <c r="AB3" s="161"/>
      <c r="AC3" s="161"/>
      <c r="AD3" s="161"/>
      <c r="AE3" s="162"/>
      <c r="AF3" s="173"/>
      <c r="AG3" s="158"/>
      <c r="AH3" s="158"/>
      <c r="AI3" s="158"/>
      <c r="AJ3" s="174"/>
      <c r="BN3" s="58" t="s">
        <v>99</v>
      </c>
      <c r="BO3" s="58" t="s">
        <v>27</v>
      </c>
      <c r="BP3" s="58">
        <f>AL9</f>
        <v>3.9471599999999998</v>
      </c>
      <c r="BQ3" s="58" t="s">
        <v>29</v>
      </c>
    </row>
    <row r="4" spans="2:76">
      <c r="B4" s="205"/>
      <c r="C4" s="206"/>
      <c r="D4" s="206"/>
      <c r="E4" s="206"/>
      <c r="F4" s="207"/>
      <c r="G4" s="175"/>
      <c r="H4" s="176"/>
      <c r="I4" s="176"/>
      <c r="J4" s="176"/>
      <c r="K4" s="176"/>
      <c r="L4" s="176"/>
      <c r="M4" s="176"/>
      <c r="N4" s="176"/>
      <c r="O4" s="176"/>
      <c r="P4" s="176"/>
      <c r="Q4" s="176"/>
      <c r="R4" s="176"/>
      <c r="S4" s="176"/>
      <c r="T4" s="176"/>
      <c r="U4" s="176"/>
      <c r="V4" s="176"/>
      <c r="W4" s="176"/>
      <c r="X4" s="176"/>
      <c r="Y4" s="176"/>
      <c r="Z4" s="176"/>
      <c r="AA4" s="176"/>
      <c r="AB4" s="176"/>
      <c r="AC4" s="176"/>
      <c r="AD4" s="176"/>
      <c r="AE4" s="177"/>
      <c r="AF4" s="157" t="s">
        <v>4</v>
      </c>
      <c r="AG4" s="178"/>
      <c r="AH4" s="178"/>
      <c r="AI4" s="178"/>
      <c r="AJ4" s="179"/>
      <c r="AK4" s="65"/>
      <c r="AL4" s="65"/>
      <c r="AM4" s="65"/>
      <c r="AN4" s="65"/>
      <c r="AO4" s="65"/>
      <c r="AP4" s="65"/>
      <c r="AQ4" s="65"/>
      <c r="AR4" s="65"/>
      <c r="AS4" s="65"/>
      <c r="AT4" s="65"/>
      <c r="AU4" s="65"/>
      <c r="AV4" s="65"/>
      <c r="AW4" s="65"/>
      <c r="AX4" s="65"/>
      <c r="AY4" s="65"/>
      <c r="AZ4" s="65"/>
      <c r="BA4" s="65"/>
      <c r="BN4" s="58" t="s">
        <v>100</v>
      </c>
      <c r="BO4" s="58" t="s">
        <v>104</v>
      </c>
      <c r="BP4" s="58">
        <f>AL10</f>
        <v>6.0960000000000001</v>
      </c>
      <c r="BQ4" s="58" t="s">
        <v>29</v>
      </c>
    </row>
    <row r="5" spans="2:76" ht="15" thickBot="1">
      <c r="B5" s="208"/>
      <c r="C5" s="209"/>
      <c r="D5" s="209"/>
      <c r="E5" s="209"/>
      <c r="F5" s="210"/>
      <c r="G5" s="180" t="s">
        <v>5</v>
      </c>
      <c r="H5" s="181"/>
      <c r="I5" s="181"/>
      <c r="J5" s="181"/>
      <c r="K5" s="181"/>
      <c r="L5" s="182"/>
      <c r="M5" s="183">
        <v>1</v>
      </c>
      <c r="N5" s="184"/>
      <c r="O5" s="184"/>
      <c r="P5" s="184"/>
      <c r="Q5" s="184"/>
      <c r="R5" s="184"/>
      <c r="S5" s="185"/>
      <c r="T5" s="186" t="s">
        <v>6</v>
      </c>
      <c r="U5" s="180"/>
      <c r="V5" s="180"/>
      <c r="W5" s="180"/>
      <c r="X5" s="180"/>
      <c r="Y5" s="187"/>
      <c r="Z5" s="245"/>
      <c r="AA5" s="184"/>
      <c r="AB5" s="184"/>
      <c r="AC5" s="184"/>
      <c r="AD5" s="184"/>
      <c r="AE5" s="246"/>
      <c r="AF5" s="247"/>
      <c r="AG5" s="184"/>
      <c r="AH5" s="184"/>
      <c r="AI5" s="184"/>
      <c r="AJ5" s="248"/>
      <c r="BN5" s="58" t="s">
        <v>101</v>
      </c>
      <c r="BO5" s="58" t="s">
        <v>105</v>
      </c>
      <c r="BP5" s="58">
        <f>AL11</f>
        <v>0.15240000000000001</v>
      </c>
      <c r="BQ5" s="58" t="s">
        <v>29</v>
      </c>
    </row>
    <row r="6" spans="2:76">
      <c r="B6" s="3"/>
      <c r="C6" s="4"/>
      <c r="D6" s="4"/>
      <c r="E6" s="4"/>
      <c r="F6" s="5"/>
      <c r="G6" s="6"/>
      <c r="H6" s="7"/>
      <c r="I6" s="7"/>
      <c r="J6" s="7"/>
      <c r="K6" s="7"/>
      <c r="L6" s="7"/>
      <c r="M6" s="7"/>
      <c r="N6" s="7"/>
      <c r="O6" s="7"/>
      <c r="P6" s="7"/>
      <c r="Q6" s="7"/>
      <c r="R6" s="7"/>
      <c r="S6" s="7"/>
      <c r="T6" s="7"/>
      <c r="U6" s="7"/>
      <c r="V6" s="7"/>
      <c r="W6" s="7"/>
      <c r="X6" s="4"/>
      <c r="Y6" s="4"/>
      <c r="Z6" s="4"/>
      <c r="AA6" s="4"/>
      <c r="AB6" s="4"/>
      <c r="AC6" s="4"/>
      <c r="AD6" s="4"/>
      <c r="AE6" s="8"/>
      <c r="AF6" s="9"/>
      <c r="AG6" s="4"/>
      <c r="AH6" s="4"/>
      <c r="AI6" s="4"/>
      <c r="AJ6" s="10"/>
      <c r="AK6" s="66"/>
      <c r="AL6" s="66"/>
      <c r="AM6" s="66"/>
      <c r="AN6" s="66"/>
      <c r="AO6" s="66"/>
      <c r="AP6" s="66"/>
      <c r="AQ6" s="66"/>
      <c r="AR6" s="66"/>
      <c r="AS6" s="66"/>
      <c r="AT6" s="66"/>
      <c r="AU6" s="66"/>
      <c r="AV6" s="66"/>
      <c r="AW6" s="66"/>
      <c r="AX6" s="66"/>
      <c r="AY6" s="66"/>
      <c r="AZ6" s="66"/>
      <c r="BA6" s="66"/>
      <c r="BN6" s="58" t="s">
        <v>102</v>
      </c>
      <c r="BO6" s="58" t="s">
        <v>106</v>
      </c>
      <c r="BP6" s="58">
        <f>AL12</f>
        <v>0</v>
      </c>
      <c r="BQ6" s="58" t="s">
        <v>81</v>
      </c>
    </row>
    <row r="7" spans="2:76">
      <c r="B7" s="11"/>
      <c r="C7" s="12"/>
      <c r="D7" s="12"/>
      <c r="E7" s="12"/>
      <c r="F7" s="13"/>
      <c r="G7" s="14"/>
      <c r="H7" s="15" t="s">
        <v>24</v>
      </c>
      <c r="I7" s="12"/>
      <c r="J7" s="12"/>
      <c r="K7" s="12"/>
      <c r="L7" s="12"/>
      <c r="M7" s="12"/>
      <c r="N7" s="12"/>
      <c r="O7" s="12"/>
      <c r="P7" s="12"/>
      <c r="Q7" s="12"/>
      <c r="R7" s="12"/>
      <c r="S7" s="12"/>
      <c r="T7" s="12"/>
      <c r="U7" s="12"/>
      <c r="V7" s="12"/>
      <c r="W7" s="12"/>
      <c r="X7" s="12"/>
      <c r="Y7" s="12"/>
      <c r="Z7" s="12"/>
      <c r="AA7" s="12"/>
      <c r="AB7" s="12"/>
      <c r="AC7" s="12"/>
      <c r="AD7" s="12"/>
      <c r="AE7" s="16"/>
      <c r="AF7" s="17"/>
      <c r="AG7" s="12"/>
      <c r="AH7" s="12"/>
      <c r="AI7" s="12"/>
      <c r="AJ7" s="18"/>
      <c r="AK7" s="66"/>
      <c r="AL7" s="66"/>
      <c r="AM7" s="66"/>
      <c r="AN7" s="66"/>
      <c r="AO7" s="66"/>
      <c r="AP7" s="66"/>
      <c r="AQ7" s="66"/>
      <c r="AR7" s="66"/>
      <c r="AS7" s="66"/>
      <c r="AT7" s="66"/>
      <c r="AU7" s="66"/>
      <c r="AV7" s="66"/>
      <c r="AW7" s="66"/>
      <c r="AX7" s="66"/>
      <c r="AY7" s="66"/>
      <c r="AZ7" s="66"/>
      <c r="BA7" s="66"/>
      <c r="BU7" s="58" t="s">
        <v>69</v>
      </c>
    </row>
    <row r="8" spans="2:76" ht="15" thickBot="1">
      <c r="B8" s="11"/>
      <c r="C8" s="12"/>
      <c r="D8" s="12"/>
      <c r="E8" s="12"/>
      <c r="F8" s="13"/>
      <c r="G8" s="14"/>
      <c r="H8" s="19"/>
      <c r="I8" s="19"/>
      <c r="J8" s="19"/>
      <c r="K8" s="19"/>
      <c r="L8" s="19"/>
      <c r="M8" s="19"/>
      <c r="N8" s="19"/>
      <c r="O8" s="19"/>
      <c r="P8" s="19"/>
      <c r="Q8" s="19"/>
      <c r="R8" s="19"/>
      <c r="S8" s="19"/>
      <c r="T8" s="19"/>
      <c r="U8" s="19"/>
      <c r="V8" s="19"/>
      <c r="W8" s="19"/>
      <c r="X8" s="19"/>
      <c r="Y8" s="19"/>
      <c r="Z8" s="19"/>
      <c r="AA8" s="19"/>
      <c r="AB8" s="19"/>
      <c r="AC8" s="19"/>
      <c r="AD8" s="19"/>
      <c r="AE8" s="16"/>
      <c r="AF8" s="17"/>
      <c r="AG8" s="12"/>
      <c r="AH8" s="12"/>
      <c r="AI8" s="12"/>
      <c r="AJ8" s="18"/>
      <c r="AK8" s="66"/>
      <c r="AL8" s="66"/>
      <c r="AM8" s="66"/>
      <c r="AN8" s="66"/>
      <c r="AO8" s="66"/>
      <c r="AP8" s="66"/>
      <c r="AQ8" s="66"/>
      <c r="AR8" s="66"/>
      <c r="AS8" s="66"/>
      <c r="AT8" s="66"/>
      <c r="AU8" s="66"/>
      <c r="AV8" s="66"/>
      <c r="AW8" s="66"/>
      <c r="AX8" s="66"/>
      <c r="AY8" s="66"/>
      <c r="AZ8" s="66"/>
      <c r="BA8" s="66"/>
      <c r="BC8" s="58" t="s">
        <v>167</v>
      </c>
      <c r="BD8" s="58" t="s">
        <v>168</v>
      </c>
      <c r="BN8" s="58" t="s">
        <v>111</v>
      </c>
      <c r="BU8" s="58" t="s">
        <v>70</v>
      </c>
      <c r="BV8" s="58" t="s">
        <v>82</v>
      </c>
      <c r="BW8" s="60">
        <f>$AR$23</f>
        <v>0.53339999999999999</v>
      </c>
      <c r="BX8" s="59" t="s">
        <v>29</v>
      </c>
    </row>
    <row r="9" spans="2:76" ht="16.2" thickBot="1">
      <c r="B9" s="11"/>
      <c r="C9" s="12"/>
      <c r="D9" s="12"/>
      <c r="E9" s="12"/>
      <c r="F9" s="13"/>
      <c r="G9" s="14"/>
      <c r="H9" s="242" t="s">
        <v>26</v>
      </c>
      <c r="I9" s="243"/>
      <c r="J9" s="243"/>
      <c r="K9" s="243"/>
      <c r="L9" s="243"/>
      <c r="M9" s="243"/>
      <c r="N9" s="243"/>
      <c r="O9" s="243"/>
      <c r="P9" s="243"/>
      <c r="Q9" s="243"/>
      <c r="R9" s="243"/>
      <c r="S9" s="243"/>
      <c r="T9" s="243"/>
      <c r="U9" s="243"/>
      <c r="V9" s="244"/>
      <c r="W9" s="200" t="s">
        <v>28</v>
      </c>
      <c r="X9" s="201"/>
      <c r="Y9" s="251">
        <v>12.95</v>
      </c>
      <c r="Z9" s="252"/>
      <c r="AA9" s="253"/>
      <c r="AB9" s="254" t="s">
        <v>235</v>
      </c>
      <c r="AC9" s="243"/>
      <c r="AD9" s="255"/>
      <c r="AE9" s="14"/>
      <c r="AF9" s="17"/>
      <c r="AG9" s="12"/>
      <c r="AH9" s="12"/>
      <c r="AI9" s="12"/>
      <c r="AJ9" s="18"/>
      <c r="AK9" s="66"/>
      <c r="AL9" s="197">
        <f>CONVERT(Y9,"ft","m")</f>
        <v>3.9471599999999998</v>
      </c>
      <c r="AM9" s="198"/>
      <c r="AN9" s="199"/>
      <c r="AO9" s="194" t="s">
        <v>29</v>
      </c>
      <c r="AP9" s="195"/>
      <c r="AQ9" s="196"/>
      <c r="AR9" s="67"/>
      <c r="AS9" s="67"/>
      <c r="AT9" s="67"/>
      <c r="AU9" s="67"/>
      <c r="AV9" s="67"/>
      <c r="AW9" s="67"/>
      <c r="AX9" s="67"/>
      <c r="AY9" s="67"/>
      <c r="AZ9" s="67"/>
      <c r="BA9" s="67"/>
      <c r="BC9" s="58" t="s">
        <v>46</v>
      </c>
      <c r="BD9" s="58">
        <v>0.5</v>
      </c>
      <c r="BN9" s="58" t="s">
        <v>107</v>
      </c>
      <c r="BO9" s="58" t="s">
        <v>108</v>
      </c>
      <c r="BP9" s="58">
        <f>BP3</f>
        <v>3.9471599999999998</v>
      </c>
      <c r="BQ9" s="58" t="s">
        <v>29</v>
      </c>
      <c r="BU9" s="58" t="s">
        <v>71</v>
      </c>
      <c r="BV9" s="58" t="s">
        <v>83</v>
      </c>
      <c r="BW9" s="58">
        <f>PI()*(BW8/2)^2</f>
        <v>0.2234579982819965</v>
      </c>
      <c r="BX9" s="59" t="s">
        <v>78</v>
      </c>
    </row>
    <row r="10" spans="2:76" ht="16.2" thickBot="1">
      <c r="B10" s="11"/>
      <c r="C10" s="12"/>
      <c r="D10" s="12"/>
      <c r="E10" s="12"/>
      <c r="F10" s="13"/>
      <c r="G10" s="14"/>
      <c r="H10" s="163" t="s">
        <v>30</v>
      </c>
      <c r="I10" s="146"/>
      <c r="J10" s="146"/>
      <c r="K10" s="146"/>
      <c r="L10" s="146"/>
      <c r="M10" s="146"/>
      <c r="N10" s="146"/>
      <c r="O10" s="146"/>
      <c r="P10" s="146"/>
      <c r="Q10" s="146"/>
      <c r="R10" s="146"/>
      <c r="S10" s="146"/>
      <c r="T10" s="146"/>
      <c r="U10" s="146"/>
      <c r="V10" s="164"/>
      <c r="W10" s="218" t="s">
        <v>31</v>
      </c>
      <c r="X10" s="219"/>
      <c r="Y10" s="154">
        <v>20</v>
      </c>
      <c r="Z10" s="155"/>
      <c r="AA10" s="156"/>
      <c r="AB10" s="145" t="s">
        <v>235</v>
      </c>
      <c r="AC10" s="146"/>
      <c r="AD10" s="147"/>
      <c r="AE10" s="14"/>
      <c r="AF10" s="17"/>
      <c r="AG10" s="12"/>
      <c r="AH10" s="12"/>
      <c r="AI10" s="12"/>
      <c r="AJ10" s="18"/>
      <c r="AK10" s="66"/>
      <c r="AL10" s="197">
        <f>CONVERT(Y10,"ft","m")</f>
        <v>6.0960000000000001</v>
      </c>
      <c r="AM10" s="198"/>
      <c r="AN10" s="199"/>
      <c r="AO10" s="220" t="s">
        <v>29</v>
      </c>
      <c r="AP10" s="221"/>
      <c r="AQ10" s="222"/>
      <c r="AR10" s="67"/>
      <c r="AS10" s="67"/>
      <c r="AT10" s="67"/>
      <c r="AU10" s="67"/>
      <c r="AV10" s="67"/>
      <c r="AW10" s="67"/>
      <c r="AX10" s="67"/>
      <c r="AY10" s="67"/>
      <c r="AZ10" s="67"/>
      <c r="BA10" s="67"/>
      <c r="BC10" s="58" t="s">
        <v>45</v>
      </c>
      <c r="BD10" s="58">
        <v>2</v>
      </c>
      <c r="BN10" s="58" t="s">
        <v>109</v>
      </c>
      <c r="BO10" s="58" t="s">
        <v>110</v>
      </c>
      <c r="BP10" s="58">
        <f>BP9+(BP6^2/(2*9.81))</f>
        <v>3.9471599999999998</v>
      </c>
      <c r="BQ10" s="58" t="s">
        <v>29</v>
      </c>
      <c r="BU10" s="58" t="s">
        <v>72</v>
      </c>
      <c r="BV10" s="58" t="s">
        <v>84</v>
      </c>
      <c r="BW10" s="61">
        <f>$AL$23</f>
        <v>45.72</v>
      </c>
      <c r="BX10" s="59" t="s">
        <v>29</v>
      </c>
    </row>
    <row r="11" spans="2:76" ht="16.2" thickBot="1">
      <c r="B11" s="11"/>
      <c r="C11" s="12"/>
      <c r="D11" s="12"/>
      <c r="E11" s="12"/>
      <c r="F11" s="13"/>
      <c r="G11" s="14"/>
      <c r="H11" s="163" t="s">
        <v>33</v>
      </c>
      <c r="I11" s="146"/>
      <c r="J11" s="146"/>
      <c r="K11" s="146"/>
      <c r="L11" s="146"/>
      <c r="M11" s="146"/>
      <c r="N11" s="146"/>
      <c r="O11" s="146"/>
      <c r="P11" s="146"/>
      <c r="Q11" s="146"/>
      <c r="R11" s="146"/>
      <c r="S11" s="146"/>
      <c r="T11" s="146"/>
      <c r="U11" s="146"/>
      <c r="V11" s="164"/>
      <c r="W11" s="218" t="s">
        <v>32</v>
      </c>
      <c r="X11" s="219"/>
      <c r="Y11" s="154">
        <v>0.5</v>
      </c>
      <c r="Z11" s="155"/>
      <c r="AA11" s="156"/>
      <c r="AB11" s="145" t="s">
        <v>235</v>
      </c>
      <c r="AC11" s="146"/>
      <c r="AD11" s="147"/>
      <c r="AE11" s="14"/>
      <c r="AF11" s="17"/>
      <c r="AG11" s="12"/>
      <c r="AH11" s="12"/>
      <c r="AI11" s="12"/>
      <c r="AJ11" s="18"/>
      <c r="AK11" s="66"/>
      <c r="AL11" s="197">
        <f>CONVERT(Y11,"ft","m")</f>
        <v>0.15240000000000001</v>
      </c>
      <c r="AM11" s="198"/>
      <c r="AN11" s="199"/>
      <c r="AO11" s="220" t="s">
        <v>29</v>
      </c>
      <c r="AP11" s="221"/>
      <c r="AQ11" s="222"/>
      <c r="AR11" s="67"/>
      <c r="AS11" s="67"/>
      <c r="AT11" s="67"/>
      <c r="AU11" s="67"/>
      <c r="AV11" s="67"/>
      <c r="AW11" s="67"/>
      <c r="AX11" s="67"/>
      <c r="AY11" s="67"/>
      <c r="AZ11" s="67"/>
      <c r="BA11" s="67"/>
      <c r="BC11" s="58" t="s">
        <v>47</v>
      </c>
      <c r="BD11" s="58">
        <v>0.8</v>
      </c>
      <c r="BU11" s="58" t="s">
        <v>73</v>
      </c>
      <c r="BV11" s="58" t="s">
        <v>85</v>
      </c>
      <c r="BW11" s="61">
        <f>$O$23</f>
        <v>0.5</v>
      </c>
      <c r="BX11" s="59" t="s">
        <v>80</v>
      </c>
    </row>
    <row r="12" spans="2:76" ht="16.2" thickBot="1">
      <c r="B12" s="11"/>
      <c r="C12" s="12"/>
      <c r="D12" s="12"/>
      <c r="E12" s="12"/>
      <c r="F12" s="13"/>
      <c r="G12" s="14"/>
      <c r="H12" s="165" t="s">
        <v>34</v>
      </c>
      <c r="I12" s="152"/>
      <c r="J12" s="152"/>
      <c r="K12" s="152"/>
      <c r="L12" s="152"/>
      <c r="M12" s="152"/>
      <c r="N12" s="152"/>
      <c r="O12" s="152"/>
      <c r="P12" s="152"/>
      <c r="Q12" s="152"/>
      <c r="R12" s="152"/>
      <c r="S12" s="152"/>
      <c r="T12" s="152"/>
      <c r="U12" s="152"/>
      <c r="V12" s="166"/>
      <c r="W12" s="249" t="s">
        <v>35</v>
      </c>
      <c r="X12" s="250"/>
      <c r="Y12" s="148">
        <v>0</v>
      </c>
      <c r="Z12" s="149"/>
      <c r="AA12" s="150"/>
      <c r="AB12" s="151" t="s">
        <v>236</v>
      </c>
      <c r="AC12" s="152"/>
      <c r="AD12" s="153"/>
      <c r="AE12" s="14"/>
      <c r="AF12" s="17"/>
      <c r="AG12" s="12"/>
      <c r="AH12" s="12"/>
      <c r="AI12" s="12"/>
      <c r="AJ12" s="18"/>
      <c r="AK12" s="66"/>
      <c r="AL12" s="197">
        <f>CONVERT(Y12,"ft","m")</f>
        <v>0</v>
      </c>
      <c r="AM12" s="198"/>
      <c r="AN12" s="199"/>
      <c r="AO12" s="228" t="s">
        <v>81</v>
      </c>
      <c r="AP12" s="229"/>
      <c r="AQ12" s="230"/>
      <c r="AR12" s="67"/>
      <c r="AS12" s="67"/>
      <c r="AT12" s="67"/>
      <c r="AU12" s="67"/>
      <c r="AV12" s="67"/>
      <c r="AW12" s="67"/>
      <c r="AX12" s="67"/>
      <c r="AY12" s="67"/>
      <c r="AZ12" s="67"/>
      <c r="BA12" s="67"/>
      <c r="BC12" s="58" t="s">
        <v>48</v>
      </c>
      <c r="BD12" s="58">
        <v>0.3</v>
      </c>
      <c r="BN12" s="58" t="s">
        <v>112</v>
      </c>
      <c r="BU12" s="58" t="s">
        <v>74</v>
      </c>
      <c r="BV12" s="58" t="s">
        <v>86</v>
      </c>
      <c r="BW12" s="60">
        <f>$AN$23</f>
        <v>0.37854117839999996</v>
      </c>
      <c r="BX12" s="59" t="s">
        <v>79</v>
      </c>
    </row>
    <row r="13" spans="2:76">
      <c r="B13" s="11"/>
      <c r="C13" s="12"/>
      <c r="D13" s="12"/>
      <c r="E13" s="12"/>
      <c r="F13" s="13"/>
      <c r="G13" s="14"/>
      <c r="H13" s="4"/>
      <c r="I13" s="6"/>
      <c r="J13" s="6"/>
      <c r="K13" s="6"/>
      <c r="L13" s="6"/>
      <c r="M13" s="6"/>
      <c r="N13" s="6"/>
      <c r="O13" s="6"/>
      <c r="P13" s="6"/>
      <c r="Q13" s="6"/>
      <c r="R13" s="6"/>
      <c r="S13" s="6"/>
      <c r="T13" s="6"/>
      <c r="U13" s="6"/>
      <c r="V13" s="6"/>
      <c r="W13" s="6"/>
      <c r="X13" s="6"/>
      <c r="Y13" s="4"/>
      <c r="Z13" s="4"/>
      <c r="AA13" s="4"/>
      <c r="AB13" s="4"/>
      <c r="AC13" s="4"/>
      <c r="AD13" s="4"/>
      <c r="AE13" s="16"/>
      <c r="AF13" s="17"/>
      <c r="AG13" s="12"/>
      <c r="AH13" s="12"/>
      <c r="AI13" s="12"/>
      <c r="AJ13" s="18"/>
      <c r="AK13" s="66"/>
      <c r="AL13" s="66"/>
      <c r="AM13" s="66"/>
      <c r="AN13" s="66"/>
      <c r="AO13" s="66"/>
      <c r="AP13" s="66"/>
      <c r="AQ13" s="66"/>
      <c r="AR13" s="66"/>
      <c r="AS13" s="66"/>
      <c r="AT13" s="66"/>
      <c r="AU13" s="66"/>
      <c r="AV13" s="66"/>
      <c r="AW13" s="66"/>
      <c r="AX13" s="66"/>
      <c r="AY13" s="66"/>
      <c r="AZ13" s="66"/>
      <c r="BA13" s="66"/>
      <c r="BC13" s="58" t="s">
        <v>49</v>
      </c>
      <c r="BD13" s="58">
        <v>0.3</v>
      </c>
      <c r="BN13" s="58" t="s">
        <v>113</v>
      </c>
      <c r="BO13" s="58" t="s">
        <v>115</v>
      </c>
      <c r="BP13" s="58">
        <f>$Y$17</f>
        <v>1</v>
      </c>
      <c r="BU13" s="58" t="s">
        <v>75</v>
      </c>
      <c r="BV13" s="58" t="s">
        <v>87</v>
      </c>
      <c r="BW13" s="58">
        <f>BW12/BW9</f>
        <v>1.6940148990428783</v>
      </c>
      <c r="BX13" s="59" t="s">
        <v>81</v>
      </c>
    </row>
    <row r="14" spans="2:76">
      <c r="B14" s="11"/>
      <c r="C14" s="12"/>
      <c r="D14" s="12"/>
      <c r="E14" s="12"/>
      <c r="F14" s="13"/>
      <c r="G14" s="14"/>
      <c r="H14" s="15" t="s">
        <v>36</v>
      </c>
      <c r="I14" s="20"/>
      <c r="J14" s="20"/>
      <c r="K14" s="20"/>
      <c r="L14" s="20"/>
      <c r="M14" s="20"/>
      <c r="N14" s="20"/>
      <c r="O14" s="20"/>
      <c r="P14" s="20"/>
      <c r="Q14" s="20"/>
      <c r="R14" s="20"/>
      <c r="S14" s="20"/>
      <c r="T14" s="20"/>
      <c r="U14" s="20"/>
      <c r="V14" s="20"/>
      <c r="W14" s="20"/>
      <c r="X14" s="20"/>
      <c r="Y14" s="12"/>
      <c r="Z14" s="12"/>
      <c r="AA14" s="12"/>
      <c r="AB14" s="12"/>
      <c r="AC14" s="12"/>
      <c r="AD14" s="12"/>
      <c r="AE14" s="16"/>
      <c r="AF14" s="17"/>
      <c r="AG14" s="12"/>
      <c r="AH14" s="12"/>
      <c r="AI14" s="12"/>
      <c r="AJ14" s="18"/>
      <c r="AK14" s="66"/>
      <c r="AL14" s="66"/>
      <c r="AM14" s="66"/>
      <c r="AN14" s="66"/>
      <c r="AO14" s="66"/>
      <c r="AP14" s="66"/>
      <c r="AQ14" s="66"/>
      <c r="AR14" s="66"/>
      <c r="AS14" s="66"/>
      <c r="AT14" s="66"/>
      <c r="AU14" s="66"/>
      <c r="AV14" s="66"/>
      <c r="AW14" s="66"/>
      <c r="AX14" s="66"/>
      <c r="AY14" s="66"/>
      <c r="AZ14" s="66"/>
      <c r="BA14" s="66"/>
      <c r="BC14" s="58" t="s">
        <v>50</v>
      </c>
      <c r="BD14" s="58">
        <v>0.3</v>
      </c>
      <c r="BN14" s="58" t="s">
        <v>114</v>
      </c>
      <c r="BO14" s="58" t="s">
        <v>116</v>
      </c>
      <c r="BP14" s="58">
        <f>BP13*($BW$13^2/(2*9.81))</f>
        <v>0.14626332712432483</v>
      </c>
      <c r="BU14" s="58" t="s">
        <v>76</v>
      </c>
      <c r="BV14" s="58" t="s">
        <v>88</v>
      </c>
      <c r="BW14" s="58">
        <f>AL18</f>
        <v>3.9624000000000001</v>
      </c>
      <c r="BX14" s="59" t="s">
        <v>29</v>
      </c>
    </row>
    <row r="15" spans="2:76" ht="15" thickBot="1">
      <c r="B15" s="11"/>
      <c r="C15" s="12"/>
      <c r="D15" s="12"/>
      <c r="E15" s="12"/>
      <c r="F15" s="21"/>
      <c r="G15" s="19"/>
      <c r="H15" s="19"/>
      <c r="I15" s="19"/>
      <c r="J15" s="19"/>
      <c r="K15" s="19"/>
      <c r="L15" s="19"/>
      <c r="M15" s="19"/>
      <c r="N15" s="19"/>
      <c r="O15" s="19"/>
      <c r="P15" s="19"/>
      <c r="Q15" s="19"/>
      <c r="R15" s="19"/>
      <c r="S15" s="19"/>
      <c r="T15" s="19"/>
      <c r="U15" s="19"/>
      <c r="V15" s="19"/>
      <c r="W15" s="19"/>
      <c r="X15" s="19"/>
      <c r="Y15" s="19"/>
      <c r="Z15" s="19"/>
      <c r="AA15" s="19"/>
      <c r="AB15" s="19"/>
      <c r="AC15" s="19"/>
      <c r="AD15" s="19"/>
      <c r="AE15" s="22"/>
      <c r="AF15" s="23"/>
      <c r="AG15" s="19"/>
      <c r="AH15" s="19"/>
      <c r="AI15" s="12"/>
      <c r="AJ15" s="18"/>
      <c r="AK15" s="66"/>
      <c r="AL15" s="66"/>
      <c r="AM15" s="66"/>
      <c r="AN15" s="66"/>
      <c r="AO15" s="66"/>
      <c r="AP15" s="66"/>
      <c r="AQ15" s="66"/>
      <c r="AR15" s="66"/>
      <c r="AS15" s="66"/>
      <c r="AT15" s="66"/>
      <c r="AU15" s="66"/>
      <c r="AV15" s="66"/>
      <c r="AW15" s="66"/>
      <c r="AX15" s="66"/>
      <c r="AY15" s="66"/>
      <c r="AZ15" s="66"/>
      <c r="BA15" s="66"/>
      <c r="BC15" s="58" t="s">
        <v>51</v>
      </c>
      <c r="BD15" s="58">
        <v>0.3</v>
      </c>
      <c r="BN15" s="58" t="s">
        <v>117</v>
      </c>
      <c r="BO15" s="58" t="s">
        <v>118</v>
      </c>
      <c r="BP15" s="58">
        <f>BP9</f>
        <v>3.9471599999999998</v>
      </c>
      <c r="BQ15" s="58" t="s">
        <v>29</v>
      </c>
      <c r="BU15" s="58" t="s">
        <v>77</v>
      </c>
      <c r="BV15" s="58" t="s">
        <v>89</v>
      </c>
      <c r="BW15" s="58">
        <f>BW14+BW10*BW11%</f>
        <v>4.1909999999999998</v>
      </c>
      <c r="BX15" s="59" t="s">
        <v>29</v>
      </c>
    </row>
    <row r="16" spans="2:76" ht="15" thickBot="1">
      <c r="B16" s="11"/>
      <c r="C16" s="12"/>
      <c r="D16" s="12"/>
      <c r="E16" s="12"/>
      <c r="F16" s="13"/>
      <c r="G16" s="20"/>
      <c r="H16" s="239" t="s">
        <v>65</v>
      </c>
      <c r="I16" s="240"/>
      <c r="J16" s="240"/>
      <c r="K16" s="240"/>
      <c r="L16" s="240"/>
      <c r="M16" s="240"/>
      <c r="N16" s="240"/>
      <c r="O16" s="240"/>
      <c r="P16" s="240"/>
      <c r="Q16" s="240"/>
      <c r="R16" s="240"/>
      <c r="S16" s="240"/>
      <c r="T16" s="240"/>
      <c r="U16" s="240"/>
      <c r="V16" s="241"/>
      <c r="W16" s="231" t="s">
        <v>68</v>
      </c>
      <c r="X16" s="232"/>
      <c r="Y16" s="233"/>
      <c r="Z16" s="233"/>
      <c r="AA16" s="233"/>
      <c r="AB16" s="232"/>
      <c r="AC16" s="232"/>
      <c r="AD16" s="234"/>
      <c r="AE16" s="16"/>
      <c r="AF16" s="17"/>
      <c r="AG16" s="12"/>
      <c r="AH16" s="12"/>
      <c r="AI16" s="20"/>
      <c r="AJ16" s="18"/>
      <c r="AK16" s="66"/>
      <c r="AL16" s="66"/>
      <c r="AM16" s="66"/>
      <c r="AN16" s="66"/>
      <c r="AO16" s="66"/>
      <c r="AP16" s="66"/>
      <c r="AQ16" s="66"/>
      <c r="AR16" s="66"/>
      <c r="AS16" s="66"/>
      <c r="AT16" s="66"/>
      <c r="AU16" s="66"/>
      <c r="AV16" s="66"/>
      <c r="AW16" s="66"/>
      <c r="AX16" s="66"/>
      <c r="AY16" s="66"/>
      <c r="AZ16" s="66"/>
      <c r="BA16" s="66"/>
      <c r="BC16" s="58" t="s">
        <v>52</v>
      </c>
      <c r="BD16" s="58">
        <v>1.2</v>
      </c>
      <c r="BN16" s="58" t="s">
        <v>120</v>
      </c>
      <c r="BO16" s="58" t="s">
        <v>121</v>
      </c>
      <c r="BP16" s="58">
        <f>BP15+BP14</f>
        <v>4.0934233271243246</v>
      </c>
      <c r="BQ16" s="58" t="s">
        <v>29</v>
      </c>
    </row>
    <row r="17" spans="2:76" ht="15" thickBot="1">
      <c r="B17" s="11"/>
      <c r="C17" s="12"/>
      <c r="D17" s="12"/>
      <c r="E17" s="12"/>
      <c r="F17" s="13"/>
      <c r="G17" s="20"/>
      <c r="H17" s="163" t="s">
        <v>66</v>
      </c>
      <c r="I17" s="146"/>
      <c r="J17" s="146"/>
      <c r="K17" s="146"/>
      <c r="L17" s="146"/>
      <c r="M17" s="146"/>
      <c r="N17" s="146"/>
      <c r="O17" s="146"/>
      <c r="P17" s="146"/>
      <c r="Q17" s="146"/>
      <c r="R17" s="146"/>
      <c r="S17" s="146"/>
      <c r="T17" s="146"/>
      <c r="U17" s="146"/>
      <c r="V17" s="164"/>
      <c r="W17" s="235"/>
      <c r="X17" s="236"/>
      <c r="Y17" s="154">
        <v>1</v>
      </c>
      <c r="Z17" s="155"/>
      <c r="AA17" s="156"/>
      <c r="AB17" s="237"/>
      <c r="AC17" s="238"/>
      <c r="AD17" s="224"/>
      <c r="AE17" s="16"/>
      <c r="AF17" s="17"/>
      <c r="AG17" s="12"/>
      <c r="AH17" s="12"/>
      <c r="AI17" s="20"/>
      <c r="AJ17" s="18"/>
      <c r="AK17" s="66"/>
      <c r="AL17" s="66"/>
      <c r="AM17" s="66"/>
      <c r="AN17" s="66"/>
      <c r="AO17" s="66"/>
      <c r="AP17" s="66"/>
      <c r="AQ17" s="66"/>
      <c r="AR17" s="66"/>
      <c r="AS17" s="66"/>
      <c r="AT17" s="66"/>
      <c r="AU17" s="66"/>
      <c r="AV17" s="66"/>
      <c r="AW17" s="66"/>
      <c r="AX17" s="66"/>
      <c r="AY17" s="66"/>
      <c r="AZ17" s="66"/>
      <c r="BA17" s="66"/>
      <c r="BC17" s="58" t="s">
        <v>53</v>
      </c>
      <c r="BD17" s="58">
        <v>0.5</v>
      </c>
      <c r="BU17" s="58" t="s">
        <v>90</v>
      </c>
    </row>
    <row r="18" spans="2:76" ht="15" thickBot="1">
      <c r="B18" s="11"/>
      <c r="C18" s="12"/>
      <c r="D18" s="12"/>
      <c r="E18" s="12"/>
      <c r="F18" s="13"/>
      <c r="G18" s="20"/>
      <c r="H18" s="163" t="s">
        <v>67</v>
      </c>
      <c r="I18" s="146"/>
      <c r="J18" s="146"/>
      <c r="K18" s="146"/>
      <c r="L18" s="146"/>
      <c r="M18" s="146"/>
      <c r="N18" s="146"/>
      <c r="O18" s="146"/>
      <c r="P18" s="146"/>
      <c r="Q18" s="146"/>
      <c r="R18" s="146"/>
      <c r="S18" s="146"/>
      <c r="T18" s="146"/>
      <c r="U18" s="146"/>
      <c r="V18" s="164"/>
      <c r="W18" s="218"/>
      <c r="X18" s="219"/>
      <c r="Y18" s="154">
        <v>13</v>
      </c>
      <c r="Z18" s="155"/>
      <c r="AA18" s="156"/>
      <c r="AB18" s="145" t="s">
        <v>235</v>
      </c>
      <c r="AC18" s="146"/>
      <c r="AD18" s="147"/>
      <c r="AE18" s="16"/>
      <c r="AF18" s="17"/>
      <c r="AG18" s="12"/>
      <c r="AH18" s="12"/>
      <c r="AI18" s="20"/>
      <c r="AJ18" s="18"/>
      <c r="AK18" s="66"/>
      <c r="AL18" s="197">
        <f>CONVERT(Y18,"ft","m")</f>
        <v>3.9624000000000001</v>
      </c>
      <c r="AM18" s="198"/>
      <c r="AN18" s="199"/>
      <c r="AO18" s="220" t="s">
        <v>29</v>
      </c>
      <c r="AP18" s="221"/>
      <c r="AQ18" s="222"/>
      <c r="AR18" s="67"/>
      <c r="AS18" s="67"/>
      <c r="AT18" s="67"/>
      <c r="AU18" s="67"/>
      <c r="AV18" s="67"/>
      <c r="AW18" s="67"/>
      <c r="AX18" s="67"/>
      <c r="AY18" s="67"/>
      <c r="AZ18" s="67"/>
      <c r="BA18" s="67"/>
      <c r="BC18" s="58" t="s">
        <v>54</v>
      </c>
      <c r="BD18" s="58">
        <v>0.15</v>
      </c>
      <c r="BN18" s="58" t="s">
        <v>140</v>
      </c>
      <c r="BU18" s="58" t="s">
        <v>70</v>
      </c>
      <c r="BV18" s="58" t="s">
        <v>82</v>
      </c>
      <c r="BW18" s="60">
        <f>$AR$24</f>
        <v>0.53339999999999999</v>
      </c>
      <c r="BX18" s="59" t="s">
        <v>29</v>
      </c>
    </row>
    <row r="19" spans="2:76" ht="15" thickBot="1">
      <c r="B19" s="11"/>
      <c r="C19" s="12"/>
      <c r="D19" s="12"/>
      <c r="E19" s="12"/>
      <c r="F19" s="13"/>
      <c r="G19" s="20"/>
      <c r="H19" s="165" t="s">
        <v>43</v>
      </c>
      <c r="I19" s="152"/>
      <c r="J19" s="152"/>
      <c r="K19" s="152"/>
      <c r="L19" s="152"/>
      <c r="M19" s="152"/>
      <c r="N19" s="152"/>
      <c r="O19" s="152"/>
      <c r="P19" s="152"/>
      <c r="Q19" s="152"/>
      <c r="R19" s="152"/>
      <c r="S19" s="152"/>
      <c r="T19" s="152"/>
      <c r="U19" s="152"/>
      <c r="V19" s="166"/>
      <c r="W19" s="249"/>
      <c r="X19" s="250"/>
      <c r="Y19" s="148">
        <v>15</v>
      </c>
      <c r="Z19" s="149"/>
      <c r="AA19" s="150"/>
      <c r="AB19" s="151" t="s">
        <v>235</v>
      </c>
      <c r="AC19" s="152"/>
      <c r="AD19" s="153"/>
      <c r="AE19" s="16"/>
      <c r="AF19" s="17"/>
      <c r="AG19" s="12"/>
      <c r="AH19" s="12"/>
      <c r="AI19" s="20"/>
      <c r="AJ19" s="18"/>
      <c r="AK19" s="66"/>
      <c r="AL19" s="197">
        <f>CONVERT(Y19,"ft","m")</f>
        <v>4.5720000000000001</v>
      </c>
      <c r="AM19" s="198"/>
      <c r="AN19" s="199"/>
      <c r="AO19" s="228" t="s">
        <v>29</v>
      </c>
      <c r="AP19" s="229"/>
      <c r="AQ19" s="230"/>
      <c r="AR19" s="67"/>
      <c r="AS19" s="67"/>
      <c r="AT19" s="67"/>
      <c r="AU19" s="67"/>
      <c r="AV19" s="67"/>
      <c r="AW19" s="67"/>
      <c r="AX19" s="67"/>
      <c r="AY19" s="67"/>
      <c r="AZ19" s="67"/>
      <c r="BA19" s="67"/>
      <c r="BC19" s="58" t="s">
        <v>55</v>
      </c>
      <c r="BD19" s="58">
        <v>0.5</v>
      </c>
      <c r="BN19" s="58" t="s">
        <v>123</v>
      </c>
      <c r="BO19" s="58" t="s">
        <v>124</v>
      </c>
      <c r="BP19" s="60">
        <f>$AP$23*10^-3</f>
        <v>7.6199999999999998E-4</v>
      </c>
      <c r="BQ19" s="58" t="s">
        <v>64</v>
      </c>
      <c r="BU19" s="58" t="s">
        <v>71</v>
      </c>
      <c r="BV19" s="58" t="s">
        <v>83</v>
      </c>
      <c r="BW19" s="58">
        <f>PI()*(BW18/2)^2</f>
        <v>0.2234579982819965</v>
      </c>
      <c r="BX19" s="59" t="s">
        <v>78</v>
      </c>
    </row>
    <row r="20" spans="2:76" ht="15" thickBot="1">
      <c r="B20" s="11"/>
      <c r="C20" s="12"/>
      <c r="D20" s="12"/>
      <c r="E20" s="12"/>
      <c r="F20" s="13"/>
      <c r="G20" s="20"/>
      <c r="H20" s="12"/>
      <c r="I20" s="12"/>
      <c r="J20" s="12"/>
      <c r="K20" s="12"/>
      <c r="L20" s="12"/>
      <c r="M20" s="12"/>
      <c r="N20" s="12"/>
      <c r="O20" s="12"/>
      <c r="P20" s="12"/>
      <c r="Q20" s="12"/>
      <c r="R20" s="12"/>
      <c r="S20" s="12"/>
      <c r="T20" s="12"/>
      <c r="U20" s="12"/>
      <c r="V20" s="12"/>
      <c r="W20" s="12"/>
      <c r="X20" s="12"/>
      <c r="Y20" s="12"/>
      <c r="Z20" s="12"/>
      <c r="AA20" s="12"/>
      <c r="AB20" s="12"/>
      <c r="AC20" s="12"/>
      <c r="AD20" s="12"/>
      <c r="AE20" s="16"/>
      <c r="AF20" s="17"/>
      <c r="AG20" s="12"/>
      <c r="AH20" s="12"/>
      <c r="AI20" s="20"/>
      <c r="AJ20" s="18"/>
      <c r="AK20" s="66"/>
      <c r="AL20" s="66"/>
      <c r="AM20" s="66"/>
      <c r="AN20" s="66"/>
      <c r="AO20" s="66"/>
      <c r="AP20" s="66"/>
      <c r="AQ20" s="66"/>
      <c r="AR20" s="66"/>
      <c r="AS20" s="66"/>
      <c r="AT20" s="66"/>
      <c r="AU20" s="66"/>
      <c r="AV20" s="66"/>
      <c r="AW20" s="66"/>
      <c r="AX20" s="66"/>
      <c r="AY20" s="66"/>
      <c r="AZ20" s="66"/>
      <c r="BA20" s="66"/>
      <c r="BC20" s="58" t="s">
        <v>56</v>
      </c>
      <c r="BD20" s="58">
        <v>1</v>
      </c>
      <c r="BG20" s="58" t="s">
        <v>169</v>
      </c>
      <c r="BH20" s="58" t="s">
        <v>163</v>
      </c>
      <c r="BI20" s="58" t="s">
        <v>119</v>
      </c>
      <c r="BJ20" s="58" t="s">
        <v>170</v>
      </c>
      <c r="BN20" s="58" t="s">
        <v>125</v>
      </c>
      <c r="BO20" s="58" t="s">
        <v>126</v>
      </c>
      <c r="BP20" s="58">
        <f>1.31*10^-6</f>
        <v>1.31E-6</v>
      </c>
      <c r="BQ20" s="58" t="s">
        <v>139</v>
      </c>
      <c r="BU20" s="58" t="s">
        <v>72</v>
      </c>
      <c r="BV20" s="58" t="s">
        <v>84</v>
      </c>
      <c r="BW20" s="61">
        <f>$AL$24</f>
        <v>37.795200000000001</v>
      </c>
      <c r="BX20" s="59" t="s">
        <v>29</v>
      </c>
    </row>
    <row r="21" spans="2:76">
      <c r="B21" s="11"/>
      <c r="C21" s="12"/>
      <c r="D21" s="12"/>
      <c r="E21" s="270" t="s">
        <v>37</v>
      </c>
      <c r="F21" s="271"/>
      <c r="G21" s="311" t="s">
        <v>38</v>
      </c>
      <c r="H21" s="304"/>
      <c r="I21" s="167" t="s">
        <v>39</v>
      </c>
      <c r="J21" s="188"/>
      <c r="K21" s="188" t="s">
        <v>40</v>
      </c>
      <c r="L21" s="189"/>
      <c r="M21" s="167" t="s">
        <v>41</v>
      </c>
      <c r="N21" s="168"/>
      <c r="O21" s="306" t="s">
        <v>42</v>
      </c>
      <c r="P21" s="307"/>
      <c r="Q21" s="167" t="s">
        <v>43</v>
      </c>
      <c r="R21" s="188"/>
      <c r="S21" s="304"/>
      <c r="T21" s="266" t="s">
        <v>44</v>
      </c>
      <c r="U21" s="267"/>
      <c r="V21" s="296" t="s">
        <v>63</v>
      </c>
      <c r="W21" s="297"/>
      <c r="X21" s="297"/>
      <c r="Y21" s="298"/>
      <c r="Z21" s="298"/>
      <c r="AA21" s="298"/>
      <c r="AB21" s="298"/>
      <c r="AC21" s="298"/>
      <c r="AD21" s="298"/>
      <c r="AE21" s="299"/>
      <c r="AF21" s="257" t="s">
        <v>59</v>
      </c>
      <c r="AG21" s="258"/>
      <c r="AH21" s="12"/>
      <c r="AI21" s="20"/>
      <c r="AJ21" s="18"/>
      <c r="AK21" s="66"/>
      <c r="AL21" s="66"/>
      <c r="AM21" s="66"/>
      <c r="AN21" s="66"/>
      <c r="AO21" s="66"/>
      <c r="AP21" s="66"/>
      <c r="AQ21" s="66"/>
      <c r="AR21" s="66"/>
      <c r="AS21" s="66"/>
      <c r="AT21" s="66"/>
      <c r="AU21" s="66"/>
      <c r="AV21" s="66"/>
      <c r="AW21" s="66"/>
      <c r="AX21" s="66"/>
      <c r="AY21" s="66"/>
      <c r="AZ21" s="66"/>
      <c r="BA21" s="66"/>
      <c r="BC21" s="58" t="s">
        <v>57</v>
      </c>
      <c r="BD21" s="58">
        <v>2</v>
      </c>
      <c r="BF21" s="58">
        <v>1</v>
      </c>
      <c r="BG21" s="58">
        <v>0</v>
      </c>
      <c r="BH21" s="60">
        <f>AN38</f>
        <v>3.9471599999999998</v>
      </c>
      <c r="BI21" s="60">
        <f>AQ38</f>
        <v>4.0934233271243246</v>
      </c>
      <c r="BJ21" s="60">
        <f>AT38</f>
        <v>4.5720000000000001</v>
      </c>
      <c r="BK21" s="58">
        <f t="shared" ref="BK21:BK31" si="0">CONVERT(BG21,"m","ft")</f>
        <v>0</v>
      </c>
      <c r="BL21" s="58">
        <f t="shared" ref="BL21:BL31" si="1">CONVERT(BJ21,"m","ft")</f>
        <v>15</v>
      </c>
      <c r="BN21" s="58" t="s">
        <v>127</v>
      </c>
      <c r="BO21" s="58" t="s">
        <v>128</v>
      </c>
      <c r="BP21" s="58">
        <f>($BW$13*$BW$8/BP20)</f>
        <v>689761.48637364211</v>
      </c>
      <c r="BU21" s="58" t="s">
        <v>73</v>
      </c>
      <c r="BV21" s="58" t="s">
        <v>85</v>
      </c>
      <c r="BW21" s="61">
        <f>$O$24</f>
        <v>0.8</v>
      </c>
      <c r="BX21" s="59" t="s">
        <v>80</v>
      </c>
    </row>
    <row r="22" spans="2:76" ht="15" thickBot="1">
      <c r="B22" s="11"/>
      <c r="C22" s="12"/>
      <c r="D22" s="12"/>
      <c r="E22" s="272"/>
      <c r="F22" s="273"/>
      <c r="G22" s="312"/>
      <c r="H22" s="305"/>
      <c r="I22" s="225"/>
      <c r="J22" s="190"/>
      <c r="K22" s="190"/>
      <c r="L22" s="191"/>
      <c r="M22" s="169"/>
      <c r="N22" s="170"/>
      <c r="O22" s="308"/>
      <c r="P22" s="309"/>
      <c r="Q22" s="225"/>
      <c r="R22" s="190"/>
      <c r="S22" s="305"/>
      <c r="T22" s="268"/>
      <c r="U22" s="269"/>
      <c r="V22" s="300"/>
      <c r="W22" s="301"/>
      <c r="X22" s="301"/>
      <c r="Y22" s="302"/>
      <c r="Z22" s="302"/>
      <c r="AA22" s="302"/>
      <c r="AB22" s="302"/>
      <c r="AC22" s="302"/>
      <c r="AD22" s="302"/>
      <c r="AE22" s="303"/>
      <c r="AF22" s="259"/>
      <c r="AG22" s="260"/>
      <c r="AH22" s="12"/>
      <c r="AI22" s="20"/>
      <c r="AJ22" s="18"/>
      <c r="AK22" s="66"/>
      <c r="AL22" s="66"/>
      <c r="AM22" s="66"/>
      <c r="AN22" s="66"/>
      <c r="AO22" s="66"/>
      <c r="AP22" s="66"/>
      <c r="AQ22" s="66"/>
      <c r="AR22" s="66"/>
      <c r="AS22" s="66"/>
      <c r="AT22" s="66"/>
      <c r="AU22" s="66"/>
      <c r="AV22" s="66"/>
      <c r="AW22" s="66"/>
      <c r="AX22" s="66"/>
      <c r="AY22" s="66"/>
      <c r="AZ22" s="66"/>
      <c r="BA22" s="66"/>
      <c r="BC22" s="58" t="s">
        <v>58</v>
      </c>
      <c r="BF22" s="58">
        <v>2</v>
      </c>
      <c r="BG22" s="61">
        <f>AL23</f>
        <v>45.72</v>
      </c>
      <c r="BH22" s="58">
        <f>IF(AR23="",AN38,AN39)</f>
        <v>4.3624378057437188</v>
      </c>
      <c r="BI22" s="58">
        <f>IF(AR23="",AQ38,AQ39)</f>
        <v>4.4560463351032862</v>
      </c>
      <c r="BJ22" s="58">
        <f t="shared" ref="BJ22:BJ31" si="2">IF(AR23="",BJ21,AT39)</f>
        <v>6.7055999999999996</v>
      </c>
      <c r="BK22" s="58">
        <f t="shared" si="0"/>
        <v>150</v>
      </c>
      <c r="BL22" s="58">
        <f t="shared" si="1"/>
        <v>21.999999999999996</v>
      </c>
      <c r="BN22" s="58" t="s">
        <v>129</v>
      </c>
      <c r="BO22" s="58" t="s">
        <v>130</v>
      </c>
      <c r="BP22" s="58">
        <f>(1/(-2*LOG10((BP19/(3.7*$BW$8)))+(5.1286/BP21^0.89)))^2</f>
        <v>2.1457889084471965E-2</v>
      </c>
      <c r="BQ22" s="62"/>
      <c r="BU22" s="58" t="s">
        <v>74</v>
      </c>
      <c r="BV22" s="58" t="s">
        <v>86</v>
      </c>
      <c r="BW22" s="60">
        <f>$AN$24</f>
        <v>0.30283294272</v>
      </c>
      <c r="BX22" s="59" t="s">
        <v>79</v>
      </c>
    </row>
    <row r="23" spans="2:76" ht="15" thickBot="1">
      <c r="B23" s="11"/>
      <c r="C23" s="12"/>
      <c r="D23" s="12"/>
      <c r="E23" s="223">
        <v>1</v>
      </c>
      <c r="F23" s="224"/>
      <c r="G23" s="171">
        <v>21</v>
      </c>
      <c r="H23" s="172"/>
      <c r="I23" s="140">
        <v>150</v>
      </c>
      <c r="J23" s="141"/>
      <c r="K23" s="138">
        <v>100</v>
      </c>
      <c r="L23" s="139"/>
      <c r="M23" s="126">
        <v>0.03</v>
      </c>
      <c r="N23" s="127"/>
      <c r="O23" s="140">
        <v>0.5</v>
      </c>
      <c r="P23" s="141"/>
      <c r="Q23" s="120">
        <v>22</v>
      </c>
      <c r="R23" s="124"/>
      <c r="S23" s="121"/>
      <c r="T23" s="120">
        <v>0.5</v>
      </c>
      <c r="U23" s="121"/>
      <c r="V23" s="264" t="s">
        <v>45</v>
      </c>
      <c r="W23" s="265"/>
      <c r="X23" s="265"/>
      <c r="Y23" s="265"/>
      <c r="Z23" s="265"/>
      <c r="AA23" s="265"/>
      <c r="AB23" s="265"/>
      <c r="AC23" s="265"/>
      <c r="AD23" s="265"/>
      <c r="AE23" s="265"/>
      <c r="AF23" s="120">
        <v>1</v>
      </c>
      <c r="AG23" s="261"/>
      <c r="AH23" s="12"/>
      <c r="AI23" s="20"/>
      <c r="AJ23" s="18"/>
      <c r="AK23" s="66"/>
      <c r="AL23" s="226">
        <f t="shared" ref="AL23:AL32" si="3">CONVERT(I23,"ft","m")</f>
        <v>45.72</v>
      </c>
      <c r="AM23" s="227"/>
      <c r="AN23" s="192">
        <f t="shared" ref="AN23:AN32" si="4">CONVERT(K23,"gal","m^3")</f>
        <v>0.37854117839999996</v>
      </c>
      <c r="AO23" s="193"/>
      <c r="AP23" s="192">
        <f t="shared" ref="AP23:AP32" si="5">CONVERT(M23,"in","mm")</f>
        <v>0.76200000000000001</v>
      </c>
      <c r="AQ23" s="193"/>
      <c r="AR23" s="256">
        <f t="shared" ref="AR23:AR32" si="6">CONVERT(G23,"in","m")</f>
        <v>0.53339999999999999</v>
      </c>
      <c r="AS23" s="193"/>
      <c r="AT23" s="197">
        <f t="shared" ref="AT23:AT32" si="7">CONVERT(Q23,"ft","m")</f>
        <v>6.7055999999999996</v>
      </c>
      <c r="AU23" s="198"/>
      <c r="AV23" s="199"/>
      <c r="AW23" s="274">
        <f t="shared" ref="AW23:AW32" si="8">CONVERT(T23,"ft","m")</f>
        <v>0.15240000000000001</v>
      </c>
      <c r="AX23" s="275"/>
      <c r="AY23" s="66"/>
      <c r="AZ23" s="66"/>
      <c r="BA23" s="66"/>
      <c r="BF23" s="58">
        <v>3</v>
      </c>
      <c r="BG23" s="61">
        <f t="shared" ref="BG23:BG31" si="9">BG22+AL24</f>
        <v>83.515199999999993</v>
      </c>
      <c r="BH23" s="58">
        <f t="shared" ref="BH23:BH31" si="10">IF(BH22=BH21,BH22,IF(AR24="",AN39,AN40))</f>
        <v>4.5983726297242118</v>
      </c>
      <c r="BI23" s="58">
        <f t="shared" ref="BI23:BI31" si="11">IF(BI22=BI21,BI22,IF(AR24="",AQ39,AQ40))</f>
        <v>4.7507937444922259</v>
      </c>
      <c r="BJ23" s="58">
        <f t="shared" si="2"/>
        <v>7.3151999999999999</v>
      </c>
      <c r="BK23" s="58">
        <f t="shared" si="0"/>
        <v>273.99999999999994</v>
      </c>
      <c r="BL23" s="58">
        <f t="shared" si="1"/>
        <v>24</v>
      </c>
      <c r="BN23" s="58" t="s">
        <v>131</v>
      </c>
      <c r="BO23" s="58" t="s">
        <v>132</v>
      </c>
      <c r="BP23" s="58">
        <f>BP22*$BW$13^2/(2*9.81*$BW$8)</f>
        <v>5.8839562252710953E-3</v>
      </c>
      <c r="BQ23" s="58" t="s">
        <v>29</v>
      </c>
      <c r="BU23" s="58" t="s">
        <v>75</v>
      </c>
      <c r="BV23" s="58" t="s">
        <v>87</v>
      </c>
      <c r="BW23" s="58">
        <f>BW22/BW19</f>
        <v>1.3552119192343026</v>
      </c>
      <c r="BX23" s="59" t="s">
        <v>81</v>
      </c>
    </row>
    <row r="24" spans="2:76" ht="15" thickBot="1">
      <c r="B24" s="11"/>
      <c r="C24" s="12"/>
      <c r="D24" s="12"/>
      <c r="E24" s="163">
        <v>2</v>
      </c>
      <c r="F24" s="147"/>
      <c r="G24" s="134">
        <v>21</v>
      </c>
      <c r="H24" s="135"/>
      <c r="I24" s="128">
        <v>124</v>
      </c>
      <c r="J24" s="129"/>
      <c r="K24" s="130">
        <v>80</v>
      </c>
      <c r="L24" s="131"/>
      <c r="M24" s="115">
        <v>0.03</v>
      </c>
      <c r="N24" s="116"/>
      <c r="O24" s="128">
        <v>0.8</v>
      </c>
      <c r="P24" s="129"/>
      <c r="Q24" s="122">
        <v>24</v>
      </c>
      <c r="R24" s="125"/>
      <c r="S24" s="123"/>
      <c r="T24" s="122">
        <v>0.5</v>
      </c>
      <c r="U24" s="123"/>
      <c r="V24" s="262" t="s">
        <v>45</v>
      </c>
      <c r="W24" s="263"/>
      <c r="X24" s="263"/>
      <c r="Y24" s="263"/>
      <c r="Z24" s="263"/>
      <c r="AA24" s="263"/>
      <c r="AB24" s="263"/>
      <c r="AC24" s="263"/>
      <c r="AD24" s="263"/>
      <c r="AE24" s="263"/>
      <c r="AF24" s="122">
        <v>1</v>
      </c>
      <c r="AG24" s="276"/>
      <c r="AH24" s="12"/>
      <c r="AI24" s="20"/>
      <c r="AJ24" s="18"/>
      <c r="AK24" s="66"/>
      <c r="AL24" s="226">
        <f t="shared" si="3"/>
        <v>37.795200000000001</v>
      </c>
      <c r="AM24" s="227"/>
      <c r="AN24" s="192">
        <f t="shared" si="4"/>
        <v>0.30283294272</v>
      </c>
      <c r="AO24" s="193"/>
      <c r="AP24" s="192">
        <f t="shared" si="5"/>
        <v>0.76200000000000001</v>
      </c>
      <c r="AQ24" s="193"/>
      <c r="AR24" s="256">
        <f t="shared" si="6"/>
        <v>0.53339999999999999</v>
      </c>
      <c r="AS24" s="193"/>
      <c r="AT24" s="197">
        <f t="shared" si="7"/>
        <v>7.3151999999999999</v>
      </c>
      <c r="AU24" s="198"/>
      <c r="AV24" s="199"/>
      <c r="AW24" s="274">
        <f t="shared" si="8"/>
        <v>0.15240000000000001</v>
      </c>
      <c r="AX24" s="275"/>
      <c r="AY24" s="66"/>
      <c r="AZ24" s="66"/>
      <c r="BA24" s="66"/>
      <c r="BC24" s="58" t="s">
        <v>60</v>
      </c>
      <c r="BD24" s="58">
        <v>0.15</v>
      </c>
      <c r="BF24" s="58">
        <v>4</v>
      </c>
      <c r="BG24" s="61">
        <f t="shared" si="9"/>
        <v>120.70079999999999</v>
      </c>
      <c r="BH24" s="58">
        <f t="shared" si="10"/>
        <v>5.0275550995356042</v>
      </c>
      <c r="BI24" s="58">
        <f t="shared" si="11"/>
        <v>5.343615523118558</v>
      </c>
      <c r="BJ24" s="58">
        <f t="shared" si="2"/>
        <v>7.9248000000000003</v>
      </c>
      <c r="BK24" s="58">
        <f t="shared" si="0"/>
        <v>395.99999999999994</v>
      </c>
      <c r="BL24" s="58">
        <f t="shared" si="1"/>
        <v>26</v>
      </c>
      <c r="BN24" s="58" t="s">
        <v>133</v>
      </c>
      <c r="BO24" s="58" t="s">
        <v>134</v>
      </c>
      <c r="BP24" s="58">
        <f>BP23*$BW$10</f>
        <v>0.26901447861939448</v>
      </c>
      <c r="BQ24" s="58" t="s">
        <v>29</v>
      </c>
      <c r="BU24" s="58" t="s">
        <v>76</v>
      </c>
      <c r="BV24" s="58" t="s">
        <v>88</v>
      </c>
      <c r="BW24" s="63">
        <f>BW15+$AW$23</f>
        <v>4.3433999999999999</v>
      </c>
      <c r="BX24" s="59" t="s">
        <v>29</v>
      </c>
    </row>
    <row r="25" spans="2:76" ht="15" thickBot="1">
      <c r="B25" s="11"/>
      <c r="C25" s="12"/>
      <c r="D25" s="12"/>
      <c r="E25" s="163">
        <v>3</v>
      </c>
      <c r="F25" s="147"/>
      <c r="G25" s="483">
        <v>18</v>
      </c>
      <c r="H25" s="484"/>
      <c r="I25" s="485">
        <v>122</v>
      </c>
      <c r="J25" s="486"/>
      <c r="K25" s="487">
        <v>75</v>
      </c>
      <c r="L25" s="488"/>
      <c r="M25" s="489">
        <v>0.03</v>
      </c>
      <c r="N25" s="490"/>
      <c r="O25" s="485">
        <v>0.5</v>
      </c>
      <c r="P25" s="486"/>
      <c r="Q25" s="491">
        <v>26</v>
      </c>
      <c r="R25" s="492"/>
      <c r="S25" s="493"/>
      <c r="T25" s="491">
        <v>0.5</v>
      </c>
      <c r="U25" s="493"/>
      <c r="V25" s="494" t="s">
        <v>45</v>
      </c>
      <c r="W25" s="495"/>
      <c r="X25" s="495"/>
      <c r="Y25" s="495"/>
      <c r="Z25" s="495"/>
      <c r="AA25" s="495"/>
      <c r="AB25" s="495"/>
      <c r="AC25" s="495"/>
      <c r="AD25" s="495"/>
      <c r="AE25" s="495"/>
      <c r="AF25" s="491">
        <v>1</v>
      </c>
      <c r="AG25" s="496"/>
      <c r="AH25" s="12"/>
      <c r="AI25" s="20"/>
      <c r="AJ25" s="18"/>
      <c r="AK25" s="66"/>
      <c r="AL25" s="226">
        <f t="shared" si="3"/>
        <v>37.185600000000001</v>
      </c>
      <c r="AM25" s="227"/>
      <c r="AN25" s="192">
        <f t="shared" si="4"/>
        <v>0.28390588379999998</v>
      </c>
      <c r="AO25" s="193"/>
      <c r="AP25" s="192">
        <f t="shared" si="5"/>
        <v>0.76200000000000001</v>
      </c>
      <c r="AQ25" s="193"/>
      <c r="AR25" s="256">
        <f t="shared" si="6"/>
        <v>0.4572</v>
      </c>
      <c r="AS25" s="193"/>
      <c r="AT25" s="197">
        <f t="shared" si="7"/>
        <v>7.9248000000000003</v>
      </c>
      <c r="AU25" s="198"/>
      <c r="AV25" s="199"/>
      <c r="AW25" s="274">
        <f t="shared" si="8"/>
        <v>0.15240000000000001</v>
      </c>
      <c r="AX25" s="275"/>
      <c r="AY25" s="66"/>
      <c r="AZ25" s="66"/>
      <c r="BA25" s="66"/>
      <c r="BC25" s="58" t="s">
        <v>61</v>
      </c>
      <c r="BD25" s="58">
        <v>6</v>
      </c>
      <c r="BF25" s="58">
        <v>5</v>
      </c>
      <c r="BG25" s="61">
        <f t="shared" si="9"/>
        <v>151.18079999999998</v>
      </c>
      <c r="BH25" s="58">
        <f t="shared" si="10"/>
        <v>6.2518536294696547</v>
      </c>
      <c r="BI25" s="58">
        <f t="shared" si="11"/>
        <v>6.4541323005627449</v>
      </c>
      <c r="BJ25" s="58">
        <f t="shared" si="2"/>
        <v>8.5343999999999998</v>
      </c>
      <c r="BK25" s="58">
        <f t="shared" si="0"/>
        <v>495.99999999999994</v>
      </c>
      <c r="BL25" s="58">
        <f t="shared" si="1"/>
        <v>28</v>
      </c>
      <c r="BN25" s="58" t="s">
        <v>135</v>
      </c>
      <c r="BO25" s="58" t="s">
        <v>136</v>
      </c>
      <c r="BP25" s="58">
        <f>BP16+BP24</f>
        <v>4.3624378057437188</v>
      </c>
      <c r="BQ25" s="58" t="s">
        <v>29</v>
      </c>
      <c r="BU25" s="58" t="s">
        <v>77</v>
      </c>
      <c r="BV25" s="58" t="s">
        <v>89</v>
      </c>
      <c r="BW25" s="58">
        <f>BW24+BW20*BW21%</f>
        <v>4.6457616000000002</v>
      </c>
      <c r="BX25" s="59" t="s">
        <v>29</v>
      </c>
    </row>
    <row r="26" spans="2:76" ht="15" thickBot="1">
      <c r="B26" s="11"/>
      <c r="C26" s="12"/>
      <c r="D26" s="12"/>
      <c r="E26" s="163">
        <v>4</v>
      </c>
      <c r="F26" s="147"/>
      <c r="G26" s="483">
        <v>15</v>
      </c>
      <c r="H26" s="484"/>
      <c r="I26" s="485">
        <v>100</v>
      </c>
      <c r="J26" s="486"/>
      <c r="K26" s="487">
        <v>75</v>
      </c>
      <c r="L26" s="488"/>
      <c r="M26" s="489">
        <v>0.03</v>
      </c>
      <c r="N26" s="490"/>
      <c r="O26" s="485">
        <v>1</v>
      </c>
      <c r="P26" s="486"/>
      <c r="Q26" s="491">
        <v>28</v>
      </c>
      <c r="R26" s="492"/>
      <c r="S26" s="493"/>
      <c r="T26" s="491">
        <v>0.5</v>
      </c>
      <c r="U26" s="493"/>
      <c r="V26" s="494" t="s">
        <v>57</v>
      </c>
      <c r="W26" s="495"/>
      <c r="X26" s="495"/>
      <c r="Y26" s="495"/>
      <c r="Z26" s="495"/>
      <c r="AA26" s="495"/>
      <c r="AB26" s="495"/>
      <c r="AC26" s="495"/>
      <c r="AD26" s="495"/>
      <c r="AE26" s="495"/>
      <c r="AF26" s="491">
        <v>2</v>
      </c>
      <c r="AG26" s="496"/>
      <c r="AH26" s="12"/>
      <c r="AI26" s="20"/>
      <c r="AJ26" s="18"/>
      <c r="AK26" s="66"/>
      <c r="AL26" s="226">
        <f t="shared" si="3"/>
        <v>30.48</v>
      </c>
      <c r="AM26" s="227"/>
      <c r="AN26" s="192">
        <f t="shared" si="4"/>
        <v>0.28390588379999998</v>
      </c>
      <c r="AO26" s="193"/>
      <c r="AP26" s="192">
        <f t="shared" si="5"/>
        <v>0.76200000000000001</v>
      </c>
      <c r="AQ26" s="193"/>
      <c r="AR26" s="256">
        <f t="shared" si="6"/>
        <v>0.38100000000000001</v>
      </c>
      <c r="AS26" s="193"/>
      <c r="AT26" s="197">
        <f t="shared" si="7"/>
        <v>8.5343999999999998</v>
      </c>
      <c r="AU26" s="198"/>
      <c r="AV26" s="199"/>
      <c r="AW26" s="274">
        <f t="shared" si="8"/>
        <v>0.15240000000000001</v>
      </c>
      <c r="AX26" s="275"/>
      <c r="AY26" s="66"/>
      <c r="AZ26" s="66"/>
      <c r="BA26" s="66"/>
      <c r="BC26" s="58" t="s">
        <v>62</v>
      </c>
      <c r="BD26" s="58">
        <v>1</v>
      </c>
      <c r="BF26" s="58">
        <v>6</v>
      </c>
      <c r="BG26" s="61">
        <f t="shared" si="9"/>
        <v>181.66079999999997</v>
      </c>
      <c r="BH26" s="58">
        <f t="shared" si="10"/>
        <v>6.8331252214330078</v>
      </c>
      <c r="BI26" s="58">
        <f t="shared" si="11"/>
        <v>7.0030954936709513</v>
      </c>
      <c r="BJ26" s="58">
        <f t="shared" si="2"/>
        <v>9.1440000000000001</v>
      </c>
      <c r="BK26" s="58">
        <f t="shared" si="0"/>
        <v>595.99999999999989</v>
      </c>
      <c r="BL26" s="58">
        <f t="shared" si="1"/>
        <v>30</v>
      </c>
      <c r="BN26" s="58" t="s">
        <v>137</v>
      </c>
      <c r="BO26" s="58" t="s">
        <v>138</v>
      </c>
      <c r="BP26" s="58">
        <f>BP25-$BW$13^2/(2*9.81)</f>
        <v>4.2161744786193935</v>
      </c>
      <c r="BQ26" s="58" t="s">
        <v>29</v>
      </c>
    </row>
    <row r="27" spans="2:76" ht="15" thickBot="1">
      <c r="B27" s="11"/>
      <c r="C27" s="12"/>
      <c r="D27" s="12"/>
      <c r="E27" s="163">
        <v>5</v>
      </c>
      <c r="F27" s="147"/>
      <c r="G27" s="483">
        <v>15</v>
      </c>
      <c r="H27" s="484"/>
      <c r="I27" s="485">
        <v>100</v>
      </c>
      <c r="J27" s="486"/>
      <c r="K27" s="487">
        <v>60</v>
      </c>
      <c r="L27" s="488"/>
      <c r="M27" s="489">
        <v>0.03</v>
      </c>
      <c r="N27" s="490"/>
      <c r="O27" s="485">
        <v>3</v>
      </c>
      <c r="P27" s="486"/>
      <c r="Q27" s="491">
        <v>30</v>
      </c>
      <c r="R27" s="492"/>
      <c r="S27" s="493"/>
      <c r="T27" s="491">
        <v>0.5</v>
      </c>
      <c r="U27" s="493"/>
      <c r="V27" s="494" t="s">
        <v>45</v>
      </c>
      <c r="W27" s="495"/>
      <c r="X27" s="495"/>
      <c r="Y27" s="495"/>
      <c r="Z27" s="495"/>
      <c r="AA27" s="495"/>
      <c r="AB27" s="495"/>
      <c r="AC27" s="495"/>
      <c r="AD27" s="495"/>
      <c r="AE27" s="495"/>
      <c r="AF27" s="491">
        <v>1</v>
      </c>
      <c r="AG27" s="496"/>
      <c r="AH27" s="12"/>
      <c r="AI27" s="20"/>
      <c r="AJ27" s="18"/>
      <c r="AK27" s="66"/>
      <c r="AL27" s="226">
        <f t="shared" si="3"/>
        <v>30.48</v>
      </c>
      <c r="AM27" s="227"/>
      <c r="AN27" s="192">
        <f t="shared" si="4"/>
        <v>0.22712470704000001</v>
      </c>
      <c r="AO27" s="193"/>
      <c r="AP27" s="192">
        <f t="shared" si="5"/>
        <v>0.76200000000000001</v>
      </c>
      <c r="AQ27" s="193"/>
      <c r="AR27" s="256">
        <f t="shared" si="6"/>
        <v>0.38100000000000001</v>
      </c>
      <c r="AS27" s="193"/>
      <c r="AT27" s="197">
        <f t="shared" si="7"/>
        <v>9.1440000000000001</v>
      </c>
      <c r="AU27" s="198"/>
      <c r="AV27" s="199"/>
      <c r="AW27" s="274">
        <f t="shared" si="8"/>
        <v>0.15240000000000001</v>
      </c>
      <c r="AX27" s="275"/>
      <c r="AY27" s="66"/>
      <c r="AZ27" s="66"/>
      <c r="BA27" s="66"/>
      <c r="BF27" s="58">
        <v>7</v>
      </c>
      <c r="BG27" s="61">
        <f t="shared" si="9"/>
        <v>218.23679999999996</v>
      </c>
      <c r="BH27" s="58">
        <f t="shared" si="10"/>
        <v>7.3852463300432456</v>
      </c>
      <c r="BI27" s="58">
        <f t="shared" si="11"/>
        <v>7.5257176294134469</v>
      </c>
      <c r="BJ27" s="58">
        <f t="shared" si="2"/>
        <v>10.058400000000001</v>
      </c>
      <c r="BK27" s="58">
        <f t="shared" si="0"/>
        <v>715.99999999999989</v>
      </c>
      <c r="BL27" s="58">
        <f t="shared" si="1"/>
        <v>33</v>
      </c>
      <c r="BU27" s="58" t="s">
        <v>91</v>
      </c>
    </row>
    <row r="28" spans="2:76" ht="15" thickBot="1">
      <c r="B28" s="11"/>
      <c r="C28" s="12"/>
      <c r="D28" s="12"/>
      <c r="E28" s="163">
        <v>6</v>
      </c>
      <c r="F28" s="147"/>
      <c r="G28" s="483">
        <v>15</v>
      </c>
      <c r="H28" s="484"/>
      <c r="I28" s="485">
        <v>120</v>
      </c>
      <c r="J28" s="486"/>
      <c r="K28" s="487">
        <v>55</v>
      </c>
      <c r="L28" s="488"/>
      <c r="M28" s="489">
        <v>0.03</v>
      </c>
      <c r="N28" s="490"/>
      <c r="O28" s="485">
        <v>1</v>
      </c>
      <c r="P28" s="486"/>
      <c r="Q28" s="491">
        <v>33</v>
      </c>
      <c r="R28" s="492"/>
      <c r="S28" s="493"/>
      <c r="T28" s="491">
        <v>0.5</v>
      </c>
      <c r="U28" s="493"/>
      <c r="V28" s="494" t="s">
        <v>45</v>
      </c>
      <c r="W28" s="495"/>
      <c r="X28" s="495"/>
      <c r="Y28" s="495"/>
      <c r="Z28" s="495"/>
      <c r="AA28" s="495"/>
      <c r="AB28" s="495"/>
      <c r="AC28" s="495"/>
      <c r="AD28" s="495"/>
      <c r="AE28" s="495"/>
      <c r="AF28" s="491">
        <v>1</v>
      </c>
      <c r="AG28" s="496"/>
      <c r="AH28" s="12"/>
      <c r="AI28" s="12"/>
      <c r="AJ28" s="18"/>
      <c r="AK28" s="66"/>
      <c r="AL28" s="226">
        <f t="shared" si="3"/>
        <v>36.576000000000001</v>
      </c>
      <c r="AM28" s="227"/>
      <c r="AN28" s="192">
        <f t="shared" si="4"/>
        <v>0.20819764812</v>
      </c>
      <c r="AO28" s="193"/>
      <c r="AP28" s="192">
        <f t="shared" si="5"/>
        <v>0.76200000000000001</v>
      </c>
      <c r="AQ28" s="193"/>
      <c r="AR28" s="256">
        <f t="shared" si="6"/>
        <v>0.38100000000000001</v>
      </c>
      <c r="AS28" s="193"/>
      <c r="AT28" s="197">
        <f t="shared" si="7"/>
        <v>10.058400000000001</v>
      </c>
      <c r="AU28" s="198"/>
      <c r="AV28" s="199"/>
      <c r="AW28" s="274">
        <f t="shared" si="8"/>
        <v>0.15240000000000001</v>
      </c>
      <c r="AX28" s="275"/>
      <c r="AY28" s="66"/>
      <c r="AZ28" s="66"/>
      <c r="BA28" s="66"/>
      <c r="BF28" s="58">
        <v>8</v>
      </c>
      <c r="BG28" s="61">
        <f t="shared" si="9"/>
        <v>254.81279999999995</v>
      </c>
      <c r="BH28" s="58">
        <f t="shared" si="10"/>
        <v>7.8415444145941731</v>
      </c>
      <c r="BI28" s="58">
        <f t="shared" si="11"/>
        <v>8.1844919228222039</v>
      </c>
      <c r="BJ28" s="58">
        <f t="shared" si="2"/>
        <v>11.2776</v>
      </c>
      <c r="BK28" s="58">
        <f t="shared" si="0"/>
        <v>835.99999999999989</v>
      </c>
      <c r="BL28" s="58">
        <f t="shared" si="1"/>
        <v>37</v>
      </c>
      <c r="BN28" s="58" t="s">
        <v>141</v>
      </c>
      <c r="BU28" s="58" t="s">
        <v>70</v>
      </c>
      <c r="BV28" s="58" t="s">
        <v>82</v>
      </c>
      <c r="BW28" s="60">
        <f>$AR$25</f>
        <v>0.4572</v>
      </c>
      <c r="BX28" s="59" t="s">
        <v>29</v>
      </c>
    </row>
    <row r="29" spans="2:76" ht="15" thickBot="1">
      <c r="B29" s="11"/>
      <c r="C29" s="12"/>
      <c r="D29" s="12"/>
      <c r="E29" s="163">
        <v>7</v>
      </c>
      <c r="F29" s="147"/>
      <c r="G29" s="483">
        <v>15</v>
      </c>
      <c r="H29" s="484"/>
      <c r="I29" s="485">
        <v>120</v>
      </c>
      <c r="J29" s="486"/>
      <c r="K29" s="487">
        <v>50</v>
      </c>
      <c r="L29" s="488"/>
      <c r="M29" s="489">
        <v>0.03</v>
      </c>
      <c r="N29" s="490"/>
      <c r="O29" s="485">
        <v>1</v>
      </c>
      <c r="P29" s="486"/>
      <c r="Q29" s="491">
        <v>37</v>
      </c>
      <c r="R29" s="492"/>
      <c r="S29" s="493"/>
      <c r="T29" s="491">
        <v>0.5</v>
      </c>
      <c r="U29" s="493"/>
      <c r="V29" s="494" t="s">
        <v>45</v>
      </c>
      <c r="W29" s="495"/>
      <c r="X29" s="495"/>
      <c r="Y29" s="495"/>
      <c r="Z29" s="495"/>
      <c r="AA29" s="495"/>
      <c r="AB29" s="495"/>
      <c r="AC29" s="495"/>
      <c r="AD29" s="495"/>
      <c r="AE29" s="495"/>
      <c r="AF29" s="491">
        <v>1</v>
      </c>
      <c r="AG29" s="496"/>
      <c r="AH29" s="12"/>
      <c r="AI29" s="12"/>
      <c r="AJ29" s="18"/>
      <c r="AK29" s="66"/>
      <c r="AL29" s="226">
        <f t="shared" si="3"/>
        <v>36.576000000000001</v>
      </c>
      <c r="AM29" s="227"/>
      <c r="AN29" s="192">
        <f t="shared" si="4"/>
        <v>0.18927058919999998</v>
      </c>
      <c r="AO29" s="193"/>
      <c r="AP29" s="192">
        <f t="shared" si="5"/>
        <v>0.76200000000000001</v>
      </c>
      <c r="AQ29" s="193"/>
      <c r="AR29" s="256">
        <f t="shared" si="6"/>
        <v>0.38100000000000001</v>
      </c>
      <c r="AS29" s="193"/>
      <c r="AT29" s="197">
        <f t="shared" si="7"/>
        <v>11.2776</v>
      </c>
      <c r="AU29" s="198"/>
      <c r="AV29" s="199"/>
      <c r="AW29" s="274">
        <f t="shared" si="8"/>
        <v>0.15240000000000001</v>
      </c>
      <c r="AX29" s="275"/>
      <c r="AY29" s="66"/>
      <c r="AZ29" s="66"/>
      <c r="BA29" s="66"/>
      <c r="BC29" s="58" t="s">
        <v>68</v>
      </c>
      <c r="BD29" s="58">
        <v>1</v>
      </c>
      <c r="BF29" s="58">
        <v>9</v>
      </c>
      <c r="BG29" s="61">
        <f t="shared" si="9"/>
        <v>285.29279999999994</v>
      </c>
      <c r="BH29" s="58">
        <f t="shared" si="10"/>
        <v>9.037537812711447</v>
      </c>
      <c r="BI29" s="58">
        <f t="shared" si="11"/>
        <v>9.2570242179773867</v>
      </c>
      <c r="BJ29" s="58">
        <f t="shared" si="2"/>
        <v>11.2776</v>
      </c>
      <c r="BK29" s="58">
        <f t="shared" si="0"/>
        <v>935.99999999999989</v>
      </c>
      <c r="BL29" s="58">
        <f t="shared" si="1"/>
        <v>37</v>
      </c>
      <c r="BN29" s="58" t="s">
        <v>113</v>
      </c>
      <c r="BO29" s="58" t="s">
        <v>115</v>
      </c>
      <c r="BP29" s="63">
        <f>$AF$23</f>
        <v>1</v>
      </c>
      <c r="BU29" s="58" t="s">
        <v>71</v>
      </c>
      <c r="BV29" s="58" t="s">
        <v>83</v>
      </c>
      <c r="BW29" s="58">
        <f>PI()*(BW28/2)^2</f>
        <v>0.16417322322758926</v>
      </c>
      <c r="BX29" s="59" t="s">
        <v>78</v>
      </c>
    </row>
    <row r="30" spans="2:76" ht="15" thickBot="1">
      <c r="B30" s="11"/>
      <c r="C30" s="12"/>
      <c r="D30" s="12"/>
      <c r="E30" s="163">
        <v>8</v>
      </c>
      <c r="F30" s="147"/>
      <c r="G30" s="134">
        <v>12</v>
      </c>
      <c r="H30" s="135"/>
      <c r="I30" s="128">
        <v>100</v>
      </c>
      <c r="J30" s="129"/>
      <c r="K30" s="130">
        <v>50</v>
      </c>
      <c r="L30" s="131"/>
      <c r="M30" s="115">
        <v>0.03</v>
      </c>
      <c r="N30" s="116"/>
      <c r="O30" s="128">
        <v>1</v>
      </c>
      <c r="P30" s="129"/>
      <c r="Q30" s="122">
        <v>37</v>
      </c>
      <c r="R30" s="125"/>
      <c r="S30" s="123"/>
      <c r="T30" s="122">
        <v>0.5</v>
      </c>
      <c r="U30" s="123"/>
      <c r="V30" s="262" t="s">
        <v>45</v>
      </c>
      <c r="W30" s="263"/>
      <c r="X30" s="263"/>
      <c r="Y30" s="263"/>
      <c r="Z30" s="263"/>
      <c r="AA30" s="263"/>
      <c r="AB30" s="263"/>
      <c r="AC30" s="263"/>
      <c r="AD30" s="263"/>
      <c r="AE30" s="263"/>
      <c r="AF30" s="122">
        <v>1</v>
      </c>
      <c r="AG30" s="276"/>
      <c r="AH30" s="12"/>
      <c r="AI30" s="12"/>
      <c r="AJ30" s="18"/>
      <c r="AK30" s="66"/>
      <c r="AL30" s="226">
        <f t="shared" si="3"/>
        <v>30.48</v>
      </c>
      <c r="AM30" s="227"/>
      <c r="AN30" s="192">
        <f t="shared" si="4"/>
        <v>0.18927058919999998</v>
      </c>
      <c r="AO30" s="193"/>
      <c r="AP30" s="192">
        <f t="shared" si="5"/>
        <v>0.76200000000000001</v>
      </c>
      <c r="AQ30" s="193"/>
      <c r="AR30" s="256">
        <f t="shared" si="6"/>
        <v>0.30480000000000002</v>
      </c>
      <c r="AS30" s="193"/>
      <c r="AT30" s="197">
        <f t="shared" si="7"/>
        <v>11.2776</v>
      </c>
      <c r="AU30" s="198"/>
      <c r="AV30" s="199"/>
      <c r="AW30" s="274">
        <f t="shared" si="8"/>
        <v>0.15240000000000001</v>
      </c>
      <c r="AX30" s="275"/>
      <c r="AY30" s="66"/>
      <c r="AZ30" s="66"/>
      <c r="BA30" s="66"/>
      <c r="BC30" s="58" t="s">
        <v>60</v>
      </c>
      <c r="BD30" s="58">
        <v>0.15</v>
      </c>
      <c r="BF30" s="58">
        <v>10</v>
      </c>
      <c r="BG30" s="61">
        <f t="shared" si="9"/>
        <v>315.77279999999996</v>
      </c>
      <c r="BH30" s="58">
        <f t="shared" si="10"/>
        <v>9.8029721974377271</v>
      </c>
      <c r="BI30" s="58">
        <f t="shared" si="11"/>
        <v>9.9264333003998182</v>
      </c>
      <c r="BJ30" s="58">
        <f t="shared" si="2"/>
        <v>11.5824</v>
      </c>
      <c r="BK30" s="58">
        <f t="shared" si="0"/>
        <v>1035.9999999999998</v>
      </c>
      <c r="BL30" s="58">
        <f t="shared" si="1"/>
        <v>38</v>
      </c>
      <c r="BN30" s="58" t="s">
        <v>114</v>
      </c>
      <c r="BO30" s="58" t="s">
        <v>116</v>
      </c>
      <c r="BP30" s="58">
        <f>BP29*($BW$13^2/(2*9.81))</f>
        <v>0.14626332712432483</v>
      </c>
      <c r="BU30" s="58" t="s">
        <v>72</v>
      </c>
      <c r="BV30" s="58" t="s">
        <v>84</v>
      </c>
      <c r="BW30" s="61">
        <f>$AL$25</f>
        <v>37.185600000000001</v>
      </c>
      <c r="BX30" s="59" t="s">
        <v>29</v>
      </c>
    </row>
    <row r="31" spans="2:76" ht="15" thickBot="1">
      <c r="B31" s="11"/>
      <c r="C31" s="12"/>
      <c r="D31" s="12"/>
      <c r="E31" s="163">
        <v>9</v>
      </c>
      <c r="F31" s="147"/>
      <c r="G31" s="134">
        <v>12</v>
      </c>
      <c r="H31" s="135"/>
      <c r="I31" s="128">
        <v>100</v>
      </c>
      <c r="J31" s="129"/>
      <c r="K31" s="130">
        <v>40</v>
      </c>
      <c r="L31" s="131"/>
      <c r="M31" s="115">
        <v>0.03</v>
      </c>
      <c r="N31" s="116"/>
      <c r="O31" s="128">
        <v>1</v>
      </c>
      <c r="P31" s="129"/>
      <c r="Q31" s="122">
        <v>38</v>
      </c>
      <c r="R31" s="125"/>
      <c r="S31" s="123"/>
      <c r="T31" s="122">
        <v>0.5</v>
      </c>
      <c r="U31" s="123"/>
      <c r="V31" s="262" t="s">
        <v>45</v>
      </c>
      <c r="W31" s="263"/>
      <c r="X31" s="263"/>
      <c r="Y31" s="263"/>
      <c r="Z31" s="263"/>
      <c r="AA31" s="263"/>
      <c r="AB31" s="263"/>
      <c r="AC31" s="263"/>
      <c r="AD31" s="263"/>
      <c r="AE31" s="263"/>
      <c r="AF31" s="122">
        <v>1</v>
      </c>
      <c r="AG31" s="276"/>
      <c r="AH31" s="12"/>
      <c r="AI31" s="12"/>
      <c r="AJ31" s="18"/>
      <c r="AK31" s="66"/>
      <c r="AL31" s="226">
        <f t="shared" si="3"/>
        <v>30.48</v>
      </c>
      <c r="AM31" s="227"/>
      <c r="AN31" s="192">
        <f t="shared" si="4"/>
        <v>0.15141647136</v>
      </c>
      <c r="AO31" s="193"/>
      <c r="AP31" s="192">
        <f t="shared" si="5"/>
        <v>0.76200000000000001</v>
      </c>
      <c r="AQ31" s="193"/>
      <c r="AR31" s="256">
        <f t="shared" si="6"/>
        <v>0.30480000000000002</v>
      </c>
      <c r="AS31" s="193"/>
      <c r="AT31" s="197">
        <f t="shared" si="7"/>
        <v>11.5824</v>
      </c>
      <c r="AU31" s="198"/>
      <c r="AV31" s="199"/>
      <c r="AW31" s="274">
        <f t="shared" si="8"/>
        <v>0.15240000000000001</v>
      </c>
      <c r="AX31" s="275"/>
      <c r="AY31" s="66"/>
      <c r="AZ31" s="66"/>
      <c r="BA31" s="66"/>
      <c r="BC31" s="58" t="s">
        <v>61</v>
      </c>
      <c r="BD31" s="58">
        <v>6</v>
      </c>
      <c r="BF31" s="58">
        <v>11</v>
      </c>
      <c r="BG31" s="61">
        <f t="shared" si="9"/>
        <v>346.25279999999998</v>
      </c>
      <c r="BH31" s="58">
        <f t="shared" si="10"/>
        <v>10.233527772128301</v>
      </c>
      <c r="BI31" s="58">
        <f t="shared" si="11"/>
        <v>10.356988875090392</v>
      </c>
      <c r="BJ31" s="58">
        <f t="shared" si="2"/>
        <v>12.4968</v>
      </c>
      <c r="BK31" s="58">
        <f t="shared" si="0"/>
        <v>1136</v>
      </c>
      <c r="BL31" s="58">
        <f t="shared" si="1"/>
        <v>41</v>
      </c>
      <c r="BN31" s="58" t="s">
        <v>117</v>
      </c>
      <c r="BO31" s="58" t="s">
        <v>118</v>
      </c>
      <c r="BP31" s="58">
        <f>BP26+BP30</f>
        <v>4.3624378057437188</v>
      </c>
      <c r="BQ31" s="58" t="s">
        <v>29</v>
      </c>
      <c r="BU31" s="58" t="s">
        <v>73</v>
      </c>
      <c r="BV31" s="58" t="s">
        <v>85</v>
      </c>
      <c r="BW31" s="61">
        <f>$O$25</f>
        <v>0.5</v>
      </c>
      <c r="BX31" s="59" t="s">
        <v>80</v>
      </c>
    </row>
    <row r="32" spans="2:76" ht="15" thickBot="1">
      <c r="B32" s="11"/>
      <c r="C32" s="12"/>
      <c r="D32" s="12"/>
      <c r="E32" s="165">
        <v>10</v>
      </c>
      <c r="F32" s="153"/>
      <c r="G32" s="136">
        <v>12</v>
      </c>
      <c r="H32" s="137"/>
      <c r="I32" s="107">
        <v>100</v>
      </c>
      <c r="J32" s="108"/>
      <c r="K32" s="132">
        <v>30</v>
      </c>
      <c r="L32" s="133"/>
      <c r="M32" s="117">
        <v>0.03</v>
      </c>
      <c r="N32" s="118"/>
      <c r="O32" s="107">
        <v>1</v>
      </c>
      <c r="P32" s="108"/>
      <c r="Q32" s="97">
        <v>41</v>
      </c>
      <c r="R32" s="119"/>
      <c r="S32" s="98"/>
      <c r="T32" s="97">
        <v>0.5</v>
      </c>
      <c r="U32" s="98"/>
      <c r="V32" s="293" t="s">
        <v>45</v>
      </c>
      <c r="W32" s="294"/>
      <c r="X32" s="294"/>
      <c r="Y32" s="294"/>
      <c r="Z32" s="294"/>
      <c r="AA32" s="294"/>
      <c r="AB32" s="294"/>
      <c r="AC32" s="294"/>
      <c r="AD32" s="294"/>
      <c r="AE32" s="295"/>
      <c r="AF32" s="97">
        <v>1</v>
      </c>
      <c r="AG32" s="310"/>
      <c r="AH32" s="12"/>
      <c r="AI32" s="12"/>
      <c r="AJ32" s="18"/>
      <c r="AK32" s="66"/>
      <c r="AL32" s="226">
        <f t="shared" si="3"/>
        <v>30.48</v>
      </c>
      <c r="AM32" s="227"/>
      <c r="AN32" s="192">
        <f t="shared" si="4"/>
        <v>0.11356235352000001</v>
      </c>
      <c r="AO32" s="193"/>
      <c r="AP32" s="192">
        <f t="shared" si="5"/>
        <v>0.76200000000000001</v>
      </c>
      <c r="AQ32" s="193"/>
      <c r="AR32" s="256">
        <f t="shared" si="6"/>
        <v>0.30480000000000002</v>
      </c>
      <c r="AS32" s="193"/>
      <c r="AT32" s="197">
        <f t="shared" si="7"/>
        <v>12.4968</v>
      </c>
      <c r="AU32" s="198"/>
      <c r="AV32" s="199"/>
      <c r="AW32" s="274">
        <f t="shared" si="8"/>
        <v>0.15240000000000001</v>
      </c>
      <c r="AX32" s="275"/>
      <c r="AY32" s="66"/>
      <c r="AZ32" s="66"/>
      <c r="BA32" s="66"/>
      <c r="BC32" s="58" t="s">
        <v>58</v>
      </c>
      <c r="BH32" s="58" t="s">
        <v>171</v>
      </c>
      <c r="BI32" s="58" t="s">
        <v>172</v>
      </c>
      <c r="BJ32" s="58" t="s">
        <v>163</v>
      </c>
      <c r="BK32" s="58" t="s">
        <v>119</v>
      </c>
      <c r="BN32" s="58" t="s">
        <v>120</v>
      </c>
      <c r="BO32" s="58" t="s">
        <v>121</v>
      </c>
      <c r="BP32" s="58">
        <f>BP31+(IF($AR$24="",$BW$13,$BW$23)^2/(2*9.81))</f>
        <v>4.4560463351032862</v>
      </c>
      <c r="BQ32" s="58" t="s">
        <v>29</v>
      </c>
      <c r="BU32" s="58" t="s">
        <v>74</v>
      </c>
      <c r="BV32" s="58" t="s">
        <v>86</v>
      </c>
      <c r="BW32" s="60">
        <f>$AN$25</f>
        <v>0.28390588379999998</v>
      </c>
      <c r="BX32" s="59" t="s">
        <v>79</v>
      </c>
    </row>
    <row r="33" spans="2:76">
      <c r="B33" s="11"/>
      <c r="C33" s="12"/>
      <c r="D33" s="12"/>
      <c r="E33" s="12"/>
      <c r="F33" s="13"/>
      <c r="G33" s="6"/>
      <c r="H33" s="4"/>
      <c r="I33" s="4"/>
      <c r="J33" s="4"/>
      <c r="K33" s="4"/>
      <c r="L33" s="4"/>
      <c r="M33" s="4"/>
      <c r="N33" s="4"/>
      <c r="O33" s="4"/>
      <c r="P33" s="4"/>
      <c r="Q33" s="4"/>
      <c r="R33" s="4"/>
      <c r="S33" s="4"/>
      <c r="T33" s="4"/>
      <c r="U33" s="4"/>
      <c r="V33" s="4"/>
      <c r="W33" s="4"/>
      <c r="X33" s="4"/>
      <c r="Y33" s="4"/>
      <c r="Z33" s="4"/>
      <c r="AA33" s="4"/>
      <c r="AB33" s="4"/>
      <c r="AC33" s="4"/>
      <c r="AD33" s="4"/>
      <c r="AE33" s="8"/>
      <c r="AF33" s="9"/>
      <c r="AG33" s="4"/>
      <c r="AH33" s="12"/>
      <c r="AI33" s="12"/>
      <c r="AJ33" s="18"/>
      <c r="AK33" s="66"/>
      <c r="AL33" s="66"/>
      <c r="AM33" s="66"/>
      <c r="AN33" s="66"/>
      <c r="AO33" s="66"/>
      <c r="AP33" s="66"/>
      <c r="AQ33" s="66"/>
      <c r="AR33" s="66"/>
      <c r="AS33" s="66"/>
      <c r="AT33" s="66"/>
      <c r="AU33" s="66"/>
      <c r="AV33" s="66"/>
      <c r="AW33" s="66"/>
      <c r="AX33" s="66"/>
      <c r="AY33" s="66"/>
      <c r="AZ33" s="66"/>
      <c r="BA33" s="66"/>
      <c r="BF33" s="58">
        <v>1</v>
      </c>
      <c r="BG33" s="58">
        <f>BG21</f>
        <v>0</v>
      </c>
      <c r="BH33" s="58">
        <f>AL18</f>
        <v>3.9624000000000001</v>
      </c>
      <c r="BI33" s="60">
        <f>BH33+AR23</f>
        <v>4.4958</v>
      </c>
      <c r="BJ33" s="60">
        <f>BH21</f>
        <v>3.9471599999999998</v>
      </c>
      <c r="BK33" s="60">
        <f>BI21</f>
        <v>4.0934233271243246</v>
      </c>
      <c r="BU33" s="58" t="s">
        <v>75</v>
      </c>
      <c r="BV33" s="58" t="s">
        <v>87</v>
      </c>
      <c r="BW33" s="58">
        <f>BW32/BW29</f>
        <v>1.7293068761062718</v>
      </c>
      <c r="BX33" s="59" t="s">
        <v>81</v>
      </c>
    </row>
    <row r="34" spans="2:76">
      <c r="B34" s="11"/>
      <c r="C34" s="12"/>
      <c r="D34" s="12"/>
      <c r="E34" s="12"/>
      <c r="F34" s="13"/>
      <c r="G34" s="20"/>
      <c r="H34" s="24" t="s">
        <v>161</v>
      </c>
      <c r="I34" s="19"/>
      <c r="J34" s="19"/>
      <c r="K34" s="19"/>
      <c r="L34" s="19"/>
      <c r="M34" s="19"/>
      <c r="N34" s="19"/>
      <c r="O34" s="19"/>
      <c r="P34" s="19"/>
      <c r="Q34" s="19"/>
      <c r="R34" s="19"/>
      <c r="S34" s="19"/>
      <c r="T34" s="19"/>
      <c r="U34" s="19"/>
      <c r="V34" s="12"/>
      <c r="W34" s="12"/>
      <c r="X34" s="12"/>
      <c r="Y34" s="12"/>
      <c r="Z34" s="12"/>
      <c r="AA34" s="12"/>
      <c r="AB34" s="12"/>
      <c r="AC34" s="12"/>
      <c r="AD34" s="12"/>
      <c r="AE34" s="16"/>
      <c r="AF34" s="17"/>
      <c r="AG34" s="12"/>
      <c r="AH34" s="12"/>
      <c r="AI34" s="12"/>
      <c r="AJ34" s="18"/>
      <c r="AK34" s="66"/>
      <c r="AL34" s="66"/>
      <c r="AM34" s="66"/>
      <c r="AN34" s="66"/>
      <c r="AO34" s="66"/>
      <c r="AP34" s="66"/>
      <c r="AQ34" s="66"/>
      <c r="AR34" s="66"/>
      <c r="AS34" s="66"/>
      <c r="AT34" s="66"/>
      <c r="AU34" s="66"/>
      <c r="AV34" s="66"/>
      <c r="AW34" s="66"/>
      <c r="AX34" s="66"/>
      <c r="AY34" s="66"/>
      <c r="AZ34" s="66"/>
      <c r="BA34" s="66"/>
      <c r="BG34" s="58">
        <f>BG33</f>
        <v>0</v>
      </c>
      <c r="BH34" s="58">
        <f>BH33</f>
        <v>3.9624000000000001</v>
      </c>
      <c r="BI34" s="60">
        <f>BI33</f>
        <v>4.4958</v>
      </c>
      <c r="BJ34" s="60">
        <f>BJ33</f>
        <v>3.9471599999999998</v>
      </c>
      <c r="BK34" s="60">
        <f>BK33</f>
        <v>4.0934233271243246</v>
      </c>
      <c r="BN34" s="58" t="s">
        <v>142</v>
      </c>
      <c r="BU34" s="58" t="s">
        <v>76</v>
      </c>
      <c r="BV34" s="58" t="s">
        <v>88</v>
      </c>
      <c r="BW34" s="63">
        <f>BW25+$AW$24</f>
        <v>4.7981616000000002</v>
      </c>
      <c r="BX34" s="59" t="s">
        <v>29</v>
      </c>
    </row>
    <row r="35" spans="2:76" ht="15" thickBot="1">
      <c r="B35" s="11"/>
      <c r="C35" s="12"/>
      <c r="D35" s="12"/>
      <c r="E35" s="12"/>
      <c r="F35" s="13"/>
      <c r="G35" s="20"/>
      <c r="H35" s="12"/>
      <c r="I35" s="12"/>
      <c r="J35" s="12"/>
      <c r="K35" s="12"/>
      <c r="L35" s="12"/>
      <c r="M35" s="12"/>
      <c r="N35" s="12"/>
      <c r="O35" s="12"/>
      <c r="P35" s="12"/>
      <c r="Q35" s="12"/>
      <c r="R35" s="12"/>
      <c r="S35" s="12"/>
      <c r="T35" s="12"/>
      <c r="U35" s="12"/>
      <c r="V35" s="12"/>
      <c r="W35" s="12"/>
      <c r="X35" s="12"/>
      <c r="Y35" s="12"/>
      <c r="Z35" s="12"/>
      <c r="AA35" s="12"/>
      <c r="AB35" s="12"/>
      <c r="AC35" s="12"/>
      <c r="AD35" s="12"/>
      <c r="AE35" s="16"/>
      <c r="AF35" s="17"/>
      <c r="AG35" s="12"/>
      <c r="AH35" s="12"/>
      <c r="AI35" s="12"/>
      <c r="AJ35" s="18"/>
      <c r="AK35" s="66"/>
      <c r="AN35" s="66"/>
      <c r="AO35" s="66"/>
      <c r="AP35" s="66"/>
      <c r="AQ35" s="66"/>
      <c r="AR35" s="66"/>
      <c r="AS35" s="66"/>
      <c r="AT35" s="66"/>
      <c r="AU35" s="66"/>
      <c r="AV35" s="66"/>
      <c r="AW35" s="66"/>
      <c r="AX35" s="66"/>
      <c r="AY35" s="66"/>
      <c r="AZ35" s="66"/>
      <c r="BA35" s="66"/>
      <c r="BF35" s="58">
        <v>2</v>
      </c>
      <c r="BG35" s="58">
        <f>BG22</f>
        <v>45.72</v>
      </c>
      <c r="BH35" s="58">
        <f>BH34+AL23*O23%</f>
        <v>4.1909999999999998</v>
      </c>
      <c r="BI35" s="60">
        <f>BH35+AR24</f>
        <v>4.7244000000000002</v>
      </c>
      <c r="BJ35" s="58">
        <f>IF(AR23="",BJ34,AN39-AL39)</f>
        <v>4.2161744786193935</v>
      </c>
      <c r="BK35" s="58">
        <f>IF(AR23="",BK34,AQ39-AL39)</f>
        <v>4.309783007978961</v>
      </c>
      <c r="BN35" s="58" t="s">
        <v>123</v>
      </c>
      <c r="BO35" s="58" t="s">
        <v>124</v>
      </c>
      <c r="BP35" s="60">
        <f>$AP$24*10^-3</f>
        <v>7.6199999999999998E-4</v>
      </c>
      <c r="BQ35" s="58" t="s">
        <v>64</v>
      </c>
      <c r="BU35" s="58" t="s">
        <v>77</v>
      </c>
      <c r="BV35" s="58" t="s">
        <v>89</v>
      </c>
      <c r="BW35" s="58">
        <f>BW34+BW30*BW31%</f>
        <v>4.9840895999999999</v>
      </c>
      <c r="BX35" s="59" t="s">
        <v>29</v>
      </c>
    </row>
    <row r="36" spans="2:76">
      <c r="B36" s="11"/>
      <c r="C36" s="12"/>
      <c r="D36" s="12"/>
      <c r="E36" s="12"/>
      <c r="F36" s="13"/>
      <c r="G36" s="20"/>
      <c r="H36" s="270" t="s">
        <v>160</v>
      </c>
      <c r="I36" s="341"/>
      <c r="J36" s="271"/>
      <c r="K36" s="317" t="s">
        <v>162</v>
      </c>
      <c r="L36" s="304"/>
      <c r="M36" s="109" t="s">
        <v>163</v>
      </c>
      <c r="N36" s="110"/>
      <c r="O36" s="111"/>
      <c r="P36" s="109" t="s">
        <v>119</v>
      </c>
      <c r="Q36" s="110"/>
      <c r="R36" s="111"/>
      <c r="S36" s="257" t="s">
        <v>43</v>
      </c>
      <c r="T36" s="313"/>
      <c r="U36" s="258"/>
      <c r="V36" s="20"/>
      <c r="W36" s="12"/>
      <c r="X36" s="12"/>
      <c r="Y36" s="12"/>
      <c r="Z36" s="12"/>
      <c r="AA36" s="12"/>
      <c r="AB36" s="12"/>
      <c r="AC36" s="12"/>
      <c r="AD36" s="12"/>
      <c r="AE36" s="16"/>
      <c r="AF36" s="17"/>
      <c r="AG36" s="12"/>
      <c r="AH36" s="12"/>
      <c r="AI36" s="12"/>
      <c r="AJ36" s="18"/>
      <c r="AK36" s="66"/>
      <c r="AN36" s="66"/>
      <c r="AO36" s="66"/>
      <c r="AP36" s="66"/>
      <c r="AQ36" s="66"/>
      <c r="AR36" s="66"/>
      <c r="AS36" s="66"/>
      <c r="AT36" s="66"/>
      <c r="AU36" s="66"/>
      <c r="AV36" s="66"/>
      <c r="AW36" s="66"/>
      <c r="AX36" s="66"/>
      <c r="AY36" s="66"/>
      <c r="AZ36" s="66"/>
      <c r="BA36" s="66"/>
      <c r="BG36" s="58">
        <f>BG35</f>
        <v>45.72</v>
      </c>
      <c r="BH36" s="63">
        <f>BH35+AW23</f>
        <v>4.3433999999999999</v>
      </c>
      <c r="BI36" s="60">
        <f>BI35+AW23</f>
        <v>4.8768000000000002</v>
      </c>
      <c r="BJ36" s="58">
        <f>IF(AR23="",BJ35,AN39)</f>
        <v>4.3624378057437188</v>
      </c>
      <c r="BK36" s="58">
        <f>IF(AR23="",BK35,AQ39)</f>
        <v>4.4560463351032862</v>
      </c>
      <c r="BN36" s="58" t="s">
        <v>125</v>
      </c>
      <c r="BO36" s="58" t="s">
        <v>126</v>
      </c>
      <c r="BP36" s="58">
        <f>1.31*10^-6</f>
        <v>1.31E-6</v>
      </c>
      <c r="BQ36" s="58" t="s">
        <v>139</v>
      </c>
    </row>
    <row r="37" spans="2:76" ht="15" thickBot="1">
      <c r="B37" s="11"/>
      <c r="C37" s="12"/>
      <c r="D37" s="12"/>
      <c r="E37" s="12"/>
      <c r="F37" s="13"/>
      <c r="G37" s="20"/>
      <c r="H37" s="272"/>
      <c r="I37" s="342"/>
      <c r="J37" s="273"/>
      <c r="K37" s="312"/>
      <c r="L37" s="305"/>
      <c r="M37" s="112"/>
      <c r="N37" s="113"/>
      <c r="O37" s="114"/>
      <c r="P37" s="112"/>
      <c r="Q37" s="113"/>
      <c r="R37" s="114"/>
      <c r="S37" s="259"/>
      <c r="T37" s="312"/>
      <c r="U37" s="260"/>
      <c r="V37" s="20"/>
      <c r="W37" s="12"/>
      <c r="X37" s="12"/>
      <c r="Y37" s="12"/>
      <c r="Z37" s="12"/>
      <c r="AA37" s="12"/>
      <c r="AB37" s="12"/>
      <c r="AC37" s="12"/>
      <c r="AD37" s="12"/>
      <c r="AE37" s="16"/>
      <c r="AF37" s="17"/>
      <c r="AG37" s="12"/>
      <c r="AH37" s="12"/>
      <c r="AI37" s="12"/>
      <c r="AJ37" s="18"/>
      <c r="AK37" s="66"/>
      <c r="AN37" s="66"/>
      <c r="AO37" s="66"/>
      <c r="AP37" s="66"/>
      <c r="AQ37" s="66"/>
      <c r="AR37" s="66"/>
      <c r="AS37" s="66"/>
      <c r="AT37" s="66"/>
      <c r="AU37" s="66"/>
      <c r="AV37" s="66"/>
      <c r="AW37" s="66"/>
      <c r="AX37" s="66"/>
      <c r="AY37" s="66"/>
      <c r="AZ37" s="66"/>
      <c r="BA37" s="66"/>
      <c r="BF37" s="58">
        <v>3</v>
      </c>
      <c r="BG37" s="58">
        <f>BG23</f>
        <v>83.515199999999993</v>
      </c>
      <c r="BH37" s="58">
        <f>BH36+AL24*O24%</f>
        <v>4.6457616000000002</v>
      </c>
      <c r="BI37" s="60">
        <f>BH37+AR25</f>
        <v>5.1029616000000004</v>
      </c>
      <c r="BJ37" s="58">
        <f>IF(AR24="",BJ36,AN40-AL40)</f>
        <v>4.5047641003646444</v>
      </c>
      <c r="BK37" s="58">
        <f>IF(AR24="",BK36,AQ40-AL40)</f>
        <v>4.6571852151326585</v>
      </c>
      <c r="BN37" s="58" t="s">
        <v>127</v>
      </c>
      <c r="BO37" s="58" t="s">
        <v>128</v>
      </c>
      <c r="BP37" s="58">
        <f>($BW$23*$BW$18/BP36)</f>
        <v>551809.1890989138</v>
      </c>
      <c r="BU37" s="58" t="s">
        <v>92</v>
      </c>
    </row>
    <row r="38" spans="2:76">
      <c r="B38" s="11"/>
      <c r="C38" s="12"/>
      <c r="D38" s="12"/>
      <c r="E38" s="12"/>
      <c r="F38" s="13"/>
      <c r="G38" s="20"/>
      <c r="H38" s="223">
        <v>1</v>
      </c>
      <c r="I38" s="238"/>
      <c r="J38" s="224"/>
      <c r="K38" s="99">
        <f>IF(Y19="","",CONVERT(BP14,"m","ft"))</f>
        <v>0.47986655880683998</v>
      </c>
      <c r="L38" s="100"/>
      <c r="M38" s="325">
        <f>IF(Y19="","",CONVERT(BP15,"m","ft"))</f>
        <v>12.95</v>
      </c>
      <c r="N38" s="326"/>
      <c r="O38" s="327"/>
      <c r="P38" s="325">
        <f>IF(Y19="","",CONVERT(BP16,"m","ft"))</f>
        <v>13.42986655880684</v>
      </c>
      <c r="Q38" s="326"/>
      <c r="R38" s="327"/>
      <c r="S38" s="325">
        <f>IF(Y19="","",Y19)</f>
        <v>15</v>
      </c>
      <c r="T38" s="326"/>
      <c r="U38" s="328"/>
      <c r="V38" s="20"/>
      <c r="W38" s="12"/>
      <c r="X38" s="12"/>
      <c r="Y38" s="12"/>
      <c r="Z38" s="12"/>
      <c r="AA38" s="12"/>
      <c r="AB38" s="12"/>
      <c r="AC38" s="12"/>
      <c r="AD38" s="12"/>
      <c r="AE38" s="16"/>
      <c r="AF38" s="314" t="str">
        <f>IF(AL38="","",IF(AN38&lt;AT38-AL11,"Acceptable","HGL Too High"))</f>
        <v>Acceptable</v>
      </c>
      <c r="AG38" s="332"/>
      <c r="AH38" s="332"/>
      <c r="AI38" s="332"/>
      <c r="AJ38" s="333"/>
      <c r="AK38" s="68"/>
      <c r="AL38" s="318">
        <f>IF(AL19="","",BP14)</f>
        <v>0.14626332712432483</v>
      </c>
      <c r="AM38" s="319"/>
      <c r="AN38" s="320">
        <f>IF(AL19="","",BP15)</f>
        <v>3.9471599999999998</v>
      </c>
      <c r="AO38" s="321"/>
      <c r="AP38" s="322"/>
      <c r="AQ38" s="320">
        <f>IF(AL19="","",BP16)</f>
        <v>4.0934233271243246</v>
      </c>
      <c r="AR38" s="321"/>
      <c r="AS38" s="322"/>
      <c r="AT38" s="320">
        <f>IF(AL19="","",AL19)</f>
        <v>4.5720000000000001</v>
      </c>
      <c r="AU38" s="321"/>
      <c r="AV38" s="323"/>
      <c r="AW38" s="68"/>
      <c r="AX38" s="68"/>
      <c r="AY38" s="68"/>
      <c r="AZ38" s="68"/>
      <c r="BA38" s="68"/>
      <c r="BG38" s="58">
        <f>BG37</f>
        <v>83.515199999999993</v>
      </c>
      <c r="BH38" s="63">
        <f>BH37+AW24</f>
        <v>4.7981616000000002</v>
      </c>
      <c r="BI38" s="60">
        <f>BI37+AW24</f>
        <v>5.2553616000000005</v>
      </c>
      <c r="BJ38" s="58">
        <f>IF(AR24="",BJ37,AN40)</f>
        <v>4.5983726297242118</v>
      </c>
      <c r="BK38" s="58">
        <f>IF(AR24="",BK37,AQ40)</f>
        <v>4.7507937444922259</v>
      </c>
      <c r="BN38" s="58" t="s">
        <v>129</v>
      </c>
      <c r="BO38" s="58" t="s">
        <v>130</v>
      </c>
      <c r="BP38" s="58">
        <f>(1/(-2*LOG10((BP35/(3.7*$BW$18)))+(5.1286/BP37^0.89)))^2</f>
        <v>2.1457844025699654E-2</v>
      </c>
      <c r="BQ38" s="62"/>
      <c r="BU38" s="58" t="s">
        <v>70</v>
      </c>
      <c r="BV38" s="58" t="s">
        <v>82</v>
      </c>
      <c r="BW38" s="60">
        <f>$AR$26</f>
        <v>0.38100000000000001</v>
      </c>
      <c r="BX38" s="59" t="s">
        <v>29</v>
      </c>
    </row>
    <row r="39" spans="2:76">
      <c r="B39" s="11"/>
      <c r="C39" s="12"/>
      <c r="D39" s="12"/>
      <c r="E39" s="12"/>
      <c r="F39" s="13"/>
      <c r="G39" s="20"/>
      <c r="H39" s="163">
        <v>2</v>
      </c>
      <c r="I39" s="146"/>
      <c r="J39" s="147"/>
      <c r="K39" s="101">
        <f>IF(G23="","",CONVERT(BP30,"m","ft"))</f>
        <v>0.47986655880683998</v>
      </c>
      <c r="L39" s="102"/>
      <c r="M39" s="103">
        <f>IF(G23="","",CONVERT(BP31,"m","ft"))</f>
        <v>14.312459992597502</v>
      </c>
      <c r="N39" s="104"/>
      <c r="O39" s="105"/>
      <c r="P39" s="103">
        <f>IF(G23="","",CONVERT(BP32,"m","ft"))</f>
        <v>14.619574590233878</v>
      </c>
      <c r="Q39" s="104"/>
      <c r="R39" s="105"/>
      <c r="S39" s="103">
        <f t="shared" ref="S39:S48" si="12">IF(G23="","",Q23)</f>
        <v>22</v>
      </c>
      <c r="T39" s="104"/>
      <c r="U39" s="106"/>
      <c r="V39" s="20"/>
      <c r="W39" s="12"/>
      <c r="X39" s="12"/>
      <c r="Y39" s="12"/>
      <c r="Z39" s="12"/>
      <c r="AA39" s="12"/>
      <c r="AB39" s="12"/>
      <c r="AC39" s="12"/>
      <c r="AD39" s="12"/>
      <c r="AE39" s="16"/>
      <c r="AF39" s="314" t="str">
        <f t="shared" ref="AF39:AF48" si="13">IF(AL39="","",IF(AN39&lt;AT39-$AL$11,"Acceptable","HGL Too High"))</f>
        <v>Acceptable</v>
      </c>
      <c r="AG39" s="315"/>
      <c r="AH39" s="315"/>
      <c r="AI39" s="315"/>
      <c r="AJ39" s="316"/>
      <c r="AK39" s="69"/>
      <c r="AL39" s="286">
        <f>IF(AR23="","",BP30)</f>
        <v>0.14626332712432483</v>
      </c>
      <c r="AM39" s="287"/>
      <c r="AN39" s="283">
        <f>IF(AR23="","",BP31)</f>
        <v>4.3624378057437188</v>
      </c>
      <c r="AO39" s="284"/>
      <c r="AP39" s="285"/>
      <c r="AQ39" s="283">
        <f>IF(AR23="","",BP32)</f>
        <v>4.4560463351032862</v>
      </c>
      <c r="AR39" s="284"/>
      <c r="AS39" s="285"/>
      <c r="AT39" s="283">
        <f t="shared" ref="AT39:AT48" si="14">IF(AR23="","",AT23)</f>
        <v>6.7055999999999996</v>
      </c>
      <c r="AU39" s="284"/>
      <c r="AV39" s="324"/>
      <c r="AW39" s="69"/>
      <c r="AX39" s="69"/>
      <c r="AY39" s="69"/>
      <c r="AZ39" s="69"/>
      <c r="BA39" s="69"/>
      <c r="BF39" s="58">
        <v>4</v>
      </c>
      <c r="BG39" s="58">
        <f>BG24</f>
        <v>120.70079999999999</v>
      </c>
      <c r="BH39" s="58">
        <f>BH38+AL25*O25%</f>
        <v>4.9840895999999999</v>
      </c>
      <c r="BI39" s="60">
        <f>BH39+AR26</f>
        <v>5.3650896000000001</v>
      </c>
      <c r="BJ39" s="58">
        <f>IF(AR25="",BJ38,AN41-AL41)</f>
        <v>4.8751339847675901</v>
      </c>
      <c r="BK39" s="58">
        <f>IF(AR25="",BK38,AQ41-AL41)</f>
        <v>5.1911944083505439</v>
      </c>
      <c r="BN39" s="58" t="s">
        <v>131</v>
      </c>
      <c r="BO39" s="58" t="s">
        <v>132</v>
      </c>
      <c r="BP39" s="58">
        <f>BP38*$BW$23^2/(2*9.81*$BW$18)</f>
        <v>3.7657240766267989E-3</v>
      </c>
      <c r="BQ39" s="58" t="s">
        <v>29</v>
      </c>
      <c r="BU39" s="58" t="s">
        <v>71</v>
      </c>
      <c r="BV39" s="58" t="s">
        <v>83</v>
      </c>
      <c r="BW39" s="58">
        <f>PI()*(BW38/2)^2</f>
        <v>0.114009182796937</v>
      </c>
      <c r="BX39" s="59" t="s">
        <v>78</v>
      </c>
    </row>
    <row r="40" spans="2:76">
      <c r="B40" s="11"/>
      <c r="C40" s="12"/>
      <c r="D40" s="12"/>
      <c r="E40" s="12"/>
      <c r="F40" s="13"/>
      <c r="G40" s="20"/>
      <c r="H40" s="163">
        <v>3</v>
      </c>
      <c r="I40" s="146"/>
      <c r="J40" s="147"/>
      <c r="K40" s="101">
        <f>IF(G24="","",CONVERT(BP46,"m","ft"))</f>
        <v>0.3071145976363775</v>
      </c>
      <c r="L40" s="102"/>
      <c r="M40" s="103">
        <f>IF(G24="","",CONVERT(BP47,"m","ft"))</f>
        <v>15.086524375735603</v>
      </c>
      <c r="N40" s="104"/>
      <c r="O40" s="105"/>
      <c r="P40" s="103">
        <f>IF(G24="","",CONVERT(BP48,"m","ft"))</f>
        <v>15.586593649908878</v>
      </c>
      <c r="Q40" s="104"/>
      <c r="R40" s="105"/>
      <c r="S40" s="103">
        <f t="shared" si="12"/>
        <v>24</v>
      </c>
      <c r="T40" s="104"/>
      <c r="U40" s="106"/>
      <c r="V40" s="20"/>
      <c r="W40" s="12"/>
      <c r="X40" s="12"/>
      <c r="Y40" s="12"/>
      <c r="Z40" s="12"/>
      <c r="AA40" s="12"/>
      <c r="AB40" s="12"/>
      <c r="AC40" s="12"/>
      <c r="AD40" s="12"/>
      <c r="AE40" s="16"/>
      <c r="AF40" s="314" t="str">
        <f t="shared" si="13"/>
        <v>Acceptable</v>
      </c>
      <c r="AG40" s="315"/>
      <c r="AH40" s="315"/>
      <c r="AI40" s="315"/>
      <c r="AJ40" s="316"/>
      <c r="AK40" s="69"/>
      <c r="AL40" s="286">
        <f>IF(AR24="","",BP46)</f>
        <v>9.3608529359567871E-2</v>
      </c>
      <c r="AM40" s="287"/>
      <c r="AN40" s="283">
        <f>IF(AR24="","",BP47)</f>
        <v>4.5983726297242118</v>
      </c>
      <c r="AO40" s="284"/>
      <c r="AP40" s="285"/>
      <c r="AQ40" s="283">
        <f>IF(AR24="","",BP48)</f>
        <v>4.7507937444922259</v>
      </c>
      <c r="AR40" s="284"/>
      <c r="AS40" s="285"/>
      <c r="AT40" s="283">
        <f t="shared" si="14"/>
        <v>7.3151999999999999</v>
      </c>
      <c r="AU40" s="284"/>
      <c r="AV40" s="324"/>
      <c r="AW40" s="69"/>
      <c r="AX40" s="69"/>
      <c r="AY40" s="69"/>
      <c r="AZ40" s="69"/>
      <c r="BA40" s="69"/>
      <c r="BG40" s="58">
        <f>BG39</f>
        <v>120.70079999999999</v>
      </c>
      <c r="BH40" s="63">
        <f>BH39+AW25</f>
        <v>5.1364896</v>
      </c>
      <c r="BI40" s="60">
        <f>BI39+AW25</f>
        <v>5.5174896000000002</v>
      </c>
      <c r="BJ40" s="58">
        <f>IF(AR25="",BJ39,AN41)</f>
        <v>5.0275550995356042</v>
      </c>
      <c r="BK40" s="58">
        <f>IF(AR25="",BK39,AQ41)</f>
        <v>5.343615523118558</v>
      </c>
      <c r="BN40" s="58" t="s">
        <v>133</v>
      </c>
      <c r="BO40" s="58" t="s">
        <v>134</v>
      </c>
      <c r="BP40" s="58">
        <f>BP39*$BW$20</f>
        <v>0.14232629462092519</v>
      </c>
      <c r="BQ40" s="58" t="s">
        <v>29</v>
      </c>
      <c r="BU40" s="58" t="s">
        <v>72</v>
      </c>
      <c r="BV40" s="58" t="s">
        <v>84</v>
      </c>
      <c r="BW40" s="61">
        <f>$AL$26</f>
        <v>30.48</v>
      </c>
      <c r="BX40" s="59" t="s">
        <v>29</v>
      </c>
    </row>
    <row r="41" spans="2:76">
      <c r="B41" s="11"/>
      <c r="C41" s="12"/>
      <c r="D41" s="12"/>
      <c r="E41" s="12"/>
      <c r="F41" s="13"/>
      <c r="G41" s="20"/>
      <c r="H41" s="163">
        <v>4</v>
      </c>
      <c r="I41" s="146"/>
      <c r="J41" s="147"/>
      <c r="K41" s="101">
        <f>IF(G25="","",CONVERT(BP62,"m","ft"))</f>
        <v>0.50006927417327385</v>
      </c>
      <c r="L41" s="102"/>
      <c r="M41" s="103">
        <f>IF(G25="","",CONVERT(BP63,"m","ft"))</f>
        <v>16.494603344933083</v>
      </c>
      <c r="N41" s="104"/>
      <c r="O41" s="105"/>
      <c r="P41" s="103">
        <f>IF(G25="","",CONVERT(BP64,"m","ft"))</f>
        <v>17.531546991858786</v>
      </c>
      <c r="Q41" s="104"/>
      <c r="R41" s="105"/>
      <c r="S41" s="103">
        <f t="shared" si="12"/>
        <v>26</v>
      </c>
      <c r="T41" s="104"/>
      <c r="U41" s="106"/>
      <c r="V41" s="20"/>
      <c r="W41" s="12"/>
      <c r="X41" s="12"/>
      <c r="Y41" s="12"/>
      <c r="Z41" s="12"/>
      <c r="AA41" s="12"/>
      <c r="AB41" s="12"/>
      <c r="AC41" s="12"/>
      <c r="AD41" s="12"/>
      <c r="AE41" s="16"/>
      <c r="AF41" s="314" t="str">
        <f t="shared" si="13"/>
        <v>Acceptable</v>
      </c>
      <c r="AG41" s="315"/>
      <c r="AH41" s="315"/>
      <c r="AI41" s="315"/>
      <c r="AJ41" s="316"/>
      <c r="AK41" s="69"/>
      <c r="AL41" s="286">
        <f>IF(AR25="","",BP62)</f>
        <v>0.15242111476801387</v>
      </c>
      <c r="AM41" s="287"/>
      <c r="AN41" s="283">
        <f>IF(AR25="","",BP63)</f>
        <v>5.0275550995356042</v>
      </c>
      <c r="AO41" s="284"/>
      <c r="AP41" s="285"/>
      <c r="AQ41" s="283">
        <f>IF(AR25="","",BP64)</f>
        <v>5.343615523118558</v>
      </c>
      <c r="AR41" s="284"/>
      <c r="AS41" s="285"/>
      <c r="AT41" s="283">
        <f t="shared" si="14"/>
        <v>7.9248000000000003</v>
      </c>
      <c r="AU41" s="284"/>
      <c r="AV41" s="324"/>
      <c r="AW41" s="69"/>
      <c r="AX41" s="69"/>
      <c r="AY41" s="69"/>
      <c r="AZ41" s="69"/>
      <c r="BA41" s="69"/>
      <c r="BF41" s="58">
        <v>5</v>
      </c>
      <c r="BG41" s="58">
        <f>BG25</f>
        <v>151.18079999999998</v>
      </c>
      <c r="BH41" s="58">
        <f>BH40+AL26*O26%</f>
        <v>5.4412896000000002</v>
      </c>
      <c r="BI41" s="60">
        <f>BH41+AR27</f>
        <v>5.8222896000000004</v>
      </c>
      <c r="BJ41" s="58">
        <f>IF(AR26="",BJ40,AN42-AL42)</f>
        <v>5.619732782303748</v>
      </c>
      <c r="BK41" s="58">
        <f>IF(AR26="",BK40,AQ42-AL42)</f>
        <v>5.8220114533968381</v>
      </c>
      <c r="BN41" s="58" t="s">
        <v>135</v>
      </c>
      <c r="BO41" s="58" t="s">
        <v>136</v>
      </c>
      <c r="BP41" s="58">
        <f>BP32+BP40</f>
        <v>4.5983726297242118</v>
      </c>
      <c r="BQ41" s="58" t="s">
        <v>29</v>
      </c>
      <c r="BU41" s="58" t="s">
        <v>73</v>
      </c>
      <c r="BV41" s="58" t="s">
        <v>85</v>
      </c>
      <c r="BW41" s="61">
        <f>$O$26</f>
        <v>1</v>
      </c>
      <c r="BX41" s="59" t="s">
        <v>80</v>
      </c>
    </row>
    <row r="42" spans="2:76">
      <c r="B42" s="11"/>
      <c r="C42" s="12"/>
      <c r="D42" s="12"/>
      <c r="E42" s="12"/>
      <c r="F42" s="13"/>
      <c r="G42" s="20"/>
      <c r="H42" s="163">
        <v>5</v>
      </c>
      <c r="I42" s="146"/>
      <c r="J42" s="147"/>
      <c r="K42" s="101">
        <f>IF(G26="","",CONVERT(BP78,"m","ft"))</f>
        <v>2.0738872938514006</v>
      </c>
      <c r="L42" s="102"/>
      <c r="M42" s="103">
        <f>IF(G26="","",CONVERT(BP79,"m","ft"))</f>
        <v>20.511330805346638</v>
      </c>
      <c r="N42" s="104"/>
      <c r="O42" s="105"/>
      <c r="P42" s="103">
        <f>IF(G26="","",CONVERT(BP80,"m","ft"))</f>
        <v>21.174974739379085</v>
      </c>
      <c r="Q42" s="104"/>
      <c r="R42" s="105"/>
      <c r="S42" s="103">
        <f t="shared" si="12"/>
        <v>28</v>
      </c>
      <c r="T42" s="104"/>
      <c r="U42" s="106"/>
      <c r="V42" s="20"/>
      <c r="W42" s="12"/>
      <c r="X42" s="12"/>
      <c r="Y42" s="12"/>
      <c r="Z42" s="12"/>
      <c r="AA42" s="12"/>
      <c r="AB42" s="12"/>
      <c r="AC42" s="12"/>
      <c r="AD42" s="12"/>
      <c r="AE42" s="16"/>
      <c r="AF42" s="314" t="str">
        <f t="shared" si="13"/>
        <v>Acceptable</v>
      </c>
      <c r="AG42" s="315"/>
      <c r="AH42" s="315"/>
      <c r="AI42" s="315"/>
      <c r="AJ42" s="316"/>
      <c r="AK42" s="69"/>
      <c r="AL42" s="286">
        <f>IF(AR26="","",BP78)</f>
        <v>0.63212084716590689</v>
      </c>
      <c r="AM42" s="287"/>
      <c r="AN42" s="283">
        <f>IF(AR26="","",BP79)</f>
        <v>6.2518536294696547</v>
      </c>
      <c r="AO42" s="284"/>
      <c r="AP42" s="285"/>
      <c r="AQ42" s="283">
        <f>IF(AR26="","",BP80)</f>
        <v>6.4541323005627449</v>
      </c>
      <c r="AR42" s="284"/>
      <c r="AS42" s="285"/>
      <c r="AT42" s="283">
        <f t="shared" si="14"/>
        <v>8.5343999999999998</v>
      </c>
      <c r="AU42" s="284"/>
      <c r="AV42" s="324"/>
      <c r="AW42" s="69"/>
      <c r="AX42" s="69"/>
      <c r="AY42" s="69"/>
      <c r="AZ42" s="69"/>
      <c r="BA42" s="69"/>
      <c r="BG42" s="58">
        <f>BG41</f>
        <v>151.18079999999998</v>
      </c>
      <c r="BH42" s="63">
        <f>BH41+AW26</f>
        <v>5.5936896000000003</v>
      </c>
      <c r="BI42" s="60">
        <f>BI41+AW26</f>
        <v>5.9746896000000005</v>
      </c>
      <c r="BJ42" s="58">
        <f>IF(AR26="",BJ41,AN42)</f>
        <v>6.2518536294696547</v>
      </c>
      <c r="BK42" s="58">
        <f>IF(AR26="",BK41,AQ42)</f>
        <v>6.4541323005627449</v>
      </c>
      <c r="BN42" s="58" t="s">
        <v>137</v>
      </c>
      <c r="BO42" s="58" t="s">
        <v>138</v>
      </c>
      <c r="BP42" s="58">
        <f>BP41-$BW$23^2/(2*9.81)</f>
        <v>4.5047641003646444</v>
      </c>
      <c r="BQ42" s="58" t="s">
        <v>29</v>
      </c>
      <c r="BU42" s="58" t="s">
        <v>74</v>
      </c>
      <c r="BV42" s="58" t="s">
        <v>86</v>
      </c>
      <c r="BW42" s="60">
        <f>$AN$26</f>
        <v>0.28390588379999998</v>
      </c>
      <c r="BX42" s="59" t="s">
        <v>79</v>
      </c>
    </row>
    <row r="43" spans="2:76">
      <c r="B43" s="11"/>
      <c r="C43" s="12"/>
      <c r="D43" s="12"/>
      <c r="E43" s="12"/>
      <c r="F43" s="13"/>
      <c r="G43" s="20"/>
      <c r="H43" s="163">
        <v>6</v>
      </c>
      <c r="I43" s="146"/>
      <c r="J43" s="147"/>
      <c r="K43" s="101">
        <f>IF(G27="","",CONVERT(BP94,"m","ft"))</f>
        <v>0.66364393403244837</v>
      </c>
      <c r="L43" s="102"/>
      <c r="M43" s="103">
        <f>IF(G27="","",CONVERT(BP95,"m","ft"))</f>
        <v>22.418389834097795</v>
      </c>
      <c r="N43" s="104"/>
      <c r="O43" s="105"/>
      <c r="P43" s="103">
        <f>IF(G27="","",CONVERT(BP96,"m","ft"))</f>
        <v>22.976035084222282</v>
      </c>
      <c r="Q43" s="104"/>
      <c r="R43" s="105"/>
      <c r="S43" s="103">
        <f t="shared" si="12"/>
        <v>30</v>
      </c>
      <c r="T43" s="104"/>
      <c r="U43" s="106"/>
      <c r="V43" s="20"/>
      <c r="W43" s="12"/>
      <c r="X43" s="12"/>
      <c r="Y43" s="12"/>
      <c r="Z43" s="12"/>
      <c r="AA43" s="12"/>
      <c r="AB43" s="12"/>
      <c r="AC43" s="12"/>
      <c r="AD43" s="12"/>
      <c r="AE43" s="16"/>
      <c r="AF43" s="314" t="str">
        <f t="shared" si="13"/>
        <v>Acceptable</v>
      </c>
      <c r="AG43" s="315"/>
      <c r="AH43" s="315"/>
      <c r="AI43" s="315"/>
      <c r="AJ43" s="316"/>
      <c r="AK43" s="69"/>
      <c r="AL43" s="286">
        <f>IF(AR27="","",BP94)</f>
        <v>0.20227867109309025</v>
      </c>
      <c r="AM43" s="287"/>
      <c r="AN43" s="283">
        <f>IF(AR27="","",BP95)</f>
        <v>6.8331252214330078</v>
      </c>
      <c r="AO43" s="284"/>
      <c r="AP43" s="285"/>
      <c r="AQ43" s="283">
        <f>IF(AR27="","",BP96)</f>
        <v>7.0030954936709513</v>
      </c>
      <c r="AR43" s="284"/>
      <c r="AS43" s="285"/>
      <c r="AT43" s="283">
        <f t="shared" si="14"/>
        <v>9.1440000000000001</v>
      </c>
      <c r="AU43" s="284"/>
      <c r="AV43" s="324"/>
      <c r="AW43" s="69"/>
      <c r="AX43" s="69"/>
      <c r="AY43" s="69"/>
      <c r="AZ43" s="69"/>
      <c r="BA43" s="69"/>
      <c r="BF43" s="58">
        <v>6</v>
      </c>
      <c r="BG43" s="58">
        <f>BG26</f>
        <v>181.66079999999997</v>
      </c>
      <c r="BH43" s="58">
        <f>BH42+AL27*O27%</f>
        <v>6.5080895999999999</v>
      </c>
      <c r="BI43" s="60">
        <f>BH43+AR28</f>
        <v>6.8890896000000001</v>
      </c>
      <c r="BJ43" s="58">
        <f>IF(AR27="",BJ42,AN43-AL43)</f>
        <v>6.6308465503399177</v>
      </c>
      <c r="BK43" s="58">
        <f>IF(AR27="",BK42,AQ43-AL43)</f>
        <v>6.8008168225778611</v>
      </c>
      <c r="BU43" s="58" t="s">
        <v>75</v>
      </c>
      <c r="BV43" s="58" t="s">
        <v>87</v>
      </c>
      <c r="BW43" s="58">
        <f>BW42/BW39</f>
        <v>2.4902019015930308</v>
      </c>
      <c r="BX43" s="59" t="s">
        <v>81</v>
      </c>
    </row>
    <row r="44" spans="2:76">
      <c r="B44" s="11"/>
      <c r="C44" s="12"/>
      <c r="D44" s="12"/>
      <c r="E44" s="12"/>
      <c r="F44" s="13"/>
      <c r="G44" s="20"/>
      <c r="H44" s="163">
        <v>7</v>
      </c>
      <c r="I44" s="146"/>
      <c r="J44" s="147"/>
      <c r="K44" s="101">
        <f>IF(G28="","",CONVERT(BP110,"m","ft"))</f>
        <v>0.55764525012448773</v>
      </c>
      <c r="L44" s="102"/>
      <c r="M44" s="103">
        <f>IF(G28="","",CONVERT(BP111,"m","ft"))</f>
        <v>24.229810794105134</v>
      </c>
      <c r="N44" s="104"/>
      <c r="O44" s="105"/>
      <c r="P44" s="103">
        <f>IF(G28="","",CONVERT(BP112,"m","ft"))</f>
        <v>24.690674637183228</v>
      </c>
      <c r="Q44" s="104"/>
      <c r="R44" s="105"/>
      <c r="S44" s="103">
        <f t="shared" si="12"/>
        <v>33</v>
      </c>
      <c r="T44" s="104"/>
      <c r="U44" s="106"/>
      <c r="V44" s="20"/>
      <c r="W44" s="12"/>
      <c r="X44" s="12"/>
      <c r="Y44" s="12"/>
      <c r="Z44" s="12"/>
      <c r="AA44" s="12"/>
      <c r="AB44" s="12"/>
      <c r="AC44" s="12"/>
      <c r="AD44" s="12"/>
      <c r="AE44" s="16"/>
      <c r="AF44" s="314" t="str">
        <f t="shared" si="13"/>
        <v>Acceptable</v>
      </c>
      <c r="AG44" s="315"/>
      <c r="AH44" s="315"/>
      <c r="AI44" s="315"/>
      <c r="AJ44" s="316"/>
      <c r="AK44" s="69"/>
      <c r="AL44" s="286">
        <f>IF(AR28="","",BP110)</f>
        <v>0.16997027223794386</v>
      </c>
      <c r="AM44" s="287"/>
      <c r="AN44" s="283">
        <f>IF(AR28="","",BP111)</f>
        <v>7.3852463300432456</v>
      </c>
      <c r="AO44" s="284"/>
      <c r="AP44" s="285"/>
      <c r="AQ44" s="283">
        <f>IF(AR28="","",BP112)</f>
        <v>7.5257176294134469</v>
      </c>
      <c r="AR44" s="284"/>
      <c r="AS44" s="285"/>
      <c r="AT44" s="283">
        <f t="shared" si="14"/>
        <v>10.058400000000001</v>
      </c>
      <c r="AU44" s="284"/>
      <c r="AV44" s="324"/>
      <c r="AW44" s="69"/>
      <c r="AX44" s="69"/>
      <c r="AY44" s="69"/>
      <c r="AZ44" s="69"/>
      <c r="BA44" s="69"/>
      <c r="BG44" s="58">
        <f>BG43</f>
        <v>181.66079999999997</v>
      </c>
      <c r="BH44" s="63">
        <f>BH43+AW27</f>
        <v>6.6604896</v>
      </c>
      <c r="BI44" s="60">
        <f>BI43+AW27</f>
        <v>7.0414896000000002</v>
      </c>
      <c r="BJ44" s="58">
        <f>IF(AR27="",BJ43,AN43)</f>
        <v>6.8331252214330078</v>
      </c>
      <c r="BK44" s="58">
        <f>IF(AR27="",BK43,AQ43)</f>
        <v>7.0030954936709513</v>
      </c>
      <c r="BN44" s="58" t="s">
        <v>143</v>
      </c>
      <c r="BU44" s="58" t="s">
        <v>76</v>
      </c>
      <c r="BV44" s="58" t="s">
        <v>88</v>
      </c>
      <c r="BW44" s="63">
        <f>BW35+$AW$25</f>
        <v>5.1364896</v>
      </c>
      <c r="BX44" s="59" t="s">
        <v>29</v>
      </c>
    </row>
    <row r="45" spans="2:76">
      <c r="B45" s="11"/>
      <c r="C45" s="12"/>
      <c r="D45" s="12"/>
      <c r="E45" s="12"/>
      <c r="F45" s="13"/>
      <c r="G45" s="20"/>
      <c r="H45" s="163">
        <v>8</v>
      </c>
      <c r="I45" s="146"/>
      <c r="J45" s="147"/>
      <c r="K45" s="101">
        <f>IF(G29="","",CONVERT(BP126,"m","ft"))</f>
        <v>0.46086384307808886</v>
      </c>
      <c r="L45" s="102"/>
      <c r="M45" s="103">
        <f>IF(G29="","",CONVERT(BP127,"m","ft"))</f>
        <v>25.726851753917888</v>
      </c>
      <c r="N45" s="104"/>
      <c r="O45" s="105"/>
      <c r="P45" s="103">
        <f>IF(G29="","",CONVERT(BP128,"m","ft"))</f>
        <v>26.852007620807758</v>
      </c>
      <c r="Q45" s="104"/>
      <c r="R45" s="105"/>
      <c r="S45" s="103">
        <f t="shared" si="12"/>
        <v>37</v>
      </c>
      <c r="T45" s="104"/>
      <c r="U45" s="106"/>
      <c r="V45" s="20"/>
      <c r="W45" s="12"/>
      <c r="X45" s="12"/>
      <c r="Y45" s="12"/>
      <c r="Z45" s="12"/>
      <c r="AA45" s="12"/>
      <c r="AB45" s="12"/>
      <c r="AC45" s="12"/>
      <c r="AD45" s="12"/>
      <c r="AE45" s="16"/>
      <c r="AF45" s="314" t="str">
        <f t="shared" si="13"/>
        <v>Acceptable</v>
      </c>
      <c r="AG45" s="315"/>
      <c r="AH45" s="315"/>
      <c r="AI45" s="315"/>
      <c r="AJ45" s="316"/>
      <c r="AK45" s="69"/>
      <c r="AL45" s="286">
        <f>IF(AR29="","",BP126)</f>
        <v>0.1404712993702015</v>
      </c>
      <c r="AM45" s="287"/>
      <c r="AN45" s="283">
        <f>IF(AR29="","",BP127)</f>
        <v>7.8415444145941731</v>
      </c>
      <c r="AO45" s="284"/>
      <c r="AP45" s="285"/>
      <c r="AQ45" s="283">
        <f>IF(AR29="","",BP128)</f>
        <v>8.1844919228222039</v>
      </c>
      <c r="AR45" s="284"/>
      <c r="AS45" s="285"/>
      <c r="AT45" s="283">
        <f t="shared" si="14"/>
        <v>11.2776</v>
      </c>
      <c r="AU45" s="284"/>
      <c r="AV45" s="324"/>
      <c r="AW45" s="69"/>
      <c r="AX45" s="69"/>
      <c r="AY45" s="69"/>
      <c r="AZ45" s="69"/>
      <c r="BA45" s="69"/>
      <c r="BF45" s="58">
        <v>7</v>
      </c>
      <c r="BG45" s="58">
        <f>BG27</f>
        <v>218.23679999999996</v>
      </c>
      <c r="BH45" s="58">
        <f>BH44+AL28*O28%</f>
        <v>7.0262495999999999</v>
      </c>
      <c r="BI45" s="60">
        <f>BH45+AR29</f>
        <v>7.4072496000000001</v>
      </c>
      <c r="BJ45" s="58">
        <f>IF(AR28="",BJ44,AN44-AL44)</f>
        <v>7.2152760578053021</v>
      </c>
      <c r="BK45" s="58">
        <f>IF(AR28="",BK44,AQ44-AL44)</f>
        <v>7.3557473571755034</v>
      </c>
      <c r="BN45" s="58" t="s">
        <v>113</v>
      </c>
      <c r="BO45" s="58" t="s">
        <v>115</v>
      </c>
      <c r="BP45" s="63">
        <f>$AF$24</f>
        <v>1</v>
      </c>
      <c r="BU45" s="58" t="s">
        <v>77</v>
      </c>
      <c r="BV45" s="58" t="s">
        <v>89</v>
      </c>
      <c r="BW45" s="58">
        <f>BW44+BW40*BW41%</f>
        <v>5.4412896000000002</v>
      </c>
      <c r="BX45" s="59" t="s">
        <v>29</v>
      </c>
    </row>
    <row r="46" spans="2:76">
      <c r="B46" s="11"/>
      <c r="C46" s="12"/>
      <c r="D46" s="12"/>
      <c r="E46" s="12"/>
      <c r="F46" s="13"/>
      <c r="G46" s="20"/>
      <c r="H46" s="163">
        <v>9</v>
      </c>
      <c r="I46" s="146"/>
      <c r="J46" s="147"/>
      <c r="K46" s="101">
        <f>IF(G30="","",CONVERT(BP142,"m","ft"))</f>
        <v>1.125155866889866</v>
      </c>
      <c r="L46" s="102"/>
      <c r="M46" s="103">
        <f>IF(G30="","",CONVERT(BP143,"m","ft"))</f>
        <v>29.650714608633358</v>
      </c>
      <c r="N46" s="104"/>
      <c r="O46" s="105"/>
      <c r="P46" s="103">
        <f>IF(G30="","",CONVERT(BP144,"m","ft"))</f>
        <v>30.370814363442868</v>
      </c>
      <c r="Q46" s="104"/>
      <c r="R46" s="105"/>
      <c r="S46" s="103">
        <f t="shared" si="12"/>
        <v>37</v>
      </c>
      <c r="T46" s="362"/>
      <c r="U46" s="363"/>
      <c r="V46" s="20"/>
      <c r="W46" s="12"/>
      <c r="X46" s="12"/>
      <c r="Y46" s="12"/>
      <c r="Z46" s="12"/>
      <c r="AA46" s="12"/>
      <c r="AB46" s="12"/>
      <c r="AC46" s="12"/>
      <c r="AD46" s="12"/>
      <c r="AE46" s="16"/>
      <c r="AF46" s="314" t="str">
        <f t="shared" si="13"/>
        <v>Acceptable</v>
      </c>
      <c r="AG46" s="315"/>
      <c r="AH46" s="315"/>
      <c r="AI46" s="315"/>
      <c r="AJ46" s="316"/>
      <c r="AK46" s="69"/>
      <c r="AL46" s="286">
        <f>IF(AR30="","",BP142)</f>
        <v>0.34294750822803116</v>
      </c>
      <c r="AM46" s="287"/>
      <c r="AN46" s="283">
        <f>IF(AR30="","",BP143)</f>
        <v>9.037537812711447</v>
      </c>
      <c r="AO46" s="284"/>
      <c r="AP46" s="285"/>
      <c r="AQ46" s="283">
        <f>IF(AR30="","",BP144)</f>
        <v>9.2570242179773867</v>
      </c>
      <c r="AR46" s="284"/>
      <c r="AS46" s="285"/>
      <c r="AT46" s="283">
        <f t="shared" si="14"/>
        <v>11.2776</v>
      </c>
      <c r="AU46" s="338"/>
      <c r="AV46" s="339"/>
      <c r="AW46" s="69"/>
      <c r="AX46" s="69"/>
      <c r="AY46" s="69"/>
      <c r="AZ46" s="69"/>
      <c r="BA46" s="69"/>
      <c r="BG46" s="58">
        <f>BG45</f>
        <v>218.23679999999996</v>
      </c>
      <c r="BH46" s="63">
        <f>BH45+AW28</f>
        <v>7.1786496</v>
      </c>
      <c r="BI46" s="60">
        <f>BI45+AW28</f>
        <v>7.5596496000000002</v>
      </c>
      <c r="BJ46" s="58">
        <f>IF(AR28="",BJ45,AN44)</f>
        <v>7.3852463300432456</v>
      </c>
      <c r="BK46" s="58">
        <f>IF(AR28="",BK45,AQ44)</f>
        <v>7.5257176294134469</v>
      </c>
      <c r="BN46" s="58" t="s">
        <v>114</v>
      </c>
      <c r="BO46" s="58" t="s">
        <v>116</v>
      </c>
      <c r="BP46" s="58">
        <f>BP45*($BW$23^2/(2*9.81))</f>
        <v>9.3608529359567871E-2</v>
      </c>
    </row>
    <row r="47" spans="2:76">
      <c r="B47" s="11"/>
      <c r="C47" s="12"/>
      <c r="D47" s="12"/>
      <c r="E47" s="12"/>
      <c r="F47" s="13"/>
      <c r="G47" s="20"/>
      <c r="H47" s="163">
        <v>10</v>
      </c>
      <c r="I47" s="146"/>
      <c r="J47" s="147"/>
      <c r="K47" s="101">
        <f>IF(G31="","",CONVERT(BP158,"m","ft"))</f>
        <v>0.72009975480951427</v>
      </c>
      <c r="L47" s="102"/>
      <c r="M47" s="103">
        <f>IF(G31="","",CONVERT(BP159,"m","ft"))</f>
        <v>32.161982275058158</v>
      </c>
      <c r="N47" s="104"/>
      <c r="O47" s="105"/>
      <c r="P47" s="103">
        <f>IF(G31="","",CONVERT(BP160,"m","ft"))</f>
        <v>32.56703838713851</v>
      </c>
      <c r="Q47" s="104"/>
      <c r="R47" s="105"/>
      <c r="S47" s="103">
        <f t="shared" si="12"/>
        <v>38</v>
      </c>
      <c r="T47" s="104"/>
      <c r="U47" s="106"/>
      <c r="V47" s="20"/>
      <c r="W47" s="12"/>
      <c r="X47" s="12"/>
      <c r="Y47" s="12"/>
      <c r="Z47" s="12"/>
      <c r="AA47" s="12"/>
      <c r="AB47" s="12"/>
      <c r="AC47" s="12"/>
      <c r="AD47" s="12"/>
      <c r="AE47" s="16"/>
      <c r="AF47" s="314" t="str">
        <f t="shared" si="13"/>
        <v>Acceptable</v>
      </c>
      <c r="AG47" s="315"/>
      <c r="AH47" s="315"/>
      <c r="AI47" s="315"/>
      <c r="AJ47" s="316"/>
      <c r="AK47" s="69"/>
      <c r="AL47" s="286">
        <f>IF(AR31="","",BP158)</f>
        <v>0.21948640526593996</v>
      </c>
      <c r="AM47" s="287"/>
      <c r="AN47" s="283">
        <f>IF(AR31="","",BP159)</f>
        <v>9.8029721974377271</v>
      </c>
      <c r="AO47" s="284"/>
      <c r="AP47" s="285"/>
      <c r="AQ47" s="283">
        <f>IF(AR31="","",BP160)</f>
        <v>9.9264333003998182</v>
      </c>
      <c r="AR47" s="284"/>
      <c r="AS47" s="285"/>
      <c r="AT47" s="283">
        <f t="shared" si="14"/>
        <v>11.5824</v>
      </c>
      <c r="AU47" s="284"/>
      <c r="AV47" s="324"/>
      <c r="AW47" s="69"/>
      <c r="AX47" s="69"/>
      <c r="AY47" s="69"/>
      <c r="AZ47" s="69"/>
      <c r="BA47" s="69"/>
      <c r="BF47" s="58">
        <v>8</v>
      </c>
      <c r="BG47" s="58">
        <f>BG28</f>
        <v>254.81279999999995</v>
      </c>
      <c r="BH47" s="58">
        <f>BH46+AL29*O29%</f>
        <v>7.5444095999999998</v>
      </c>
      <c r="BI47" s="60">
        <f>BH47+AR30</f>
        <v>7.8492096</v>
      </c>
      <c r="BJ47" s="58">
        <f>IF(AR29="",BJ46,AN45-AL45)</f>
        <v>7.7010731152239718</v>
      </c>
      <c r="BK47" s="58">
        <f>IF(AR29="",BK46,AQ45-AL45)</f>
        <v>8.0440206234520026</v>
      </c>
      <c r="BN47" s="58" t="s">
        <v>117</v>
      </c>
      <c r="BO47" s="58" t="s">
        <v>118</v>
      </c>
      <c r="BP47" s="58">
        <f>BP42+BP46</f>
        <v>4.5983726297242118</v>
      </c>
      <c r="BQ47" s="58" t="s">
        <v>29</v>
      </c>
      <c r="BU47" s="58" t="s">
        <v>93</v>
      </c>
    </row>
    <row r="48" spans="2:76" ht="15" thickBot="1">
      <c r="B48" s="11"/>
      <c r="C48" s="12"/>
      <c r="D48" s="12"/>
      <c r="E48" s="12"/>
      <c r="F48" s="13"/>
      <c r="G48" s="20"/>
      <c r="H48" s="165">
        <v>11</v>
      </c>
      <c r="I48" s="152"/>
      <c r="J48" s="153"/>
      <c r="K48" s="95">
        <f>IF(G32="","",CONVERT(BP174,"m","ft"))</f>
        <v>0.4050561120803518</v>
      </c>
      <c r="L48" s="96"/>
      <c r="M48" s="87">
        <f>IF(G32="","",CONVERT(BP175,"m","ft"))</f>
        <v>33.574566181523302</v>
      </c>
      <c r="N48" s="88"/>
      <c r="O48" s="89"/>
      <c r="P48" s="87">
        <f>IF(G32="","",CONVERT(BP176,"m","ft"))</f>
        <v>33.979622293603654</v>
      </c>
      <c r="Q48" s="88"/>
      <c r="R48" s="89"/>
      <c r="S48" s="87">
        <f t="shared" si="12"/>
        <v>41</v>
      </c>
      <c r="T48" s="88"/>
      <c r="U48" s="90"/>
      <c r="V48" s="20"/>
      <c r="W48" s="12"/>
      <c r="X48" s="12"/>
      <c r="Y48" s="12"/>
      <c r="Z48" s="12"/>
      <c r="AA48" s="12"/>
      <c r="AB48" s="12"/>
      <c r="AC48" s="12"/>
      <c r="AD48" s="12"/>
      <c r="AE48" s="16"/>
      <c r="AF48" s="314" t="str">
        <f t="shared" si="13"/>
        <v>Acceptable</v>
      </c>
      <c r="AG48" s="315"/>
      <c r="AH48" s="315"/>
      <c r="AI48" s="315"/>
      <c r="AJ48" s="316"/>
      <c r="AK48" s="69"/>
      <c r="AL48" s="288">
        <f>IF(AR32="","",BP174)</f>
        <v>0.12346110296209124</v>
      </c>
      <c r="AM48" s="289"/>
      <c r="AN48" s="290">
        <f>IF(AR32="","",BP175)</f>
        <v>10.233527772128301</v>
      </c>
      <c r="AO48" s="291"/>
      <c r="AP48" s="292"/>
      <c r="AQ48" s="290">
        <f>IF(AR32="","",BP176)</f>
        <v>10.356988875090392</v>
      </c>
      <c r="AR48" s="291"/>
      <c r="AS48" s="292"/>
      <c r="AT48" s="290">
        <f t="shared" si="14"/>
        <v>12.4968</v>
      </c>
      <c r="AU48" s="291"/>
      <c r="AV48" s="340"/>
      <c r="AW48" s="69"/>
      <c r="AX48" s="69"/>
      <c r="AY48" s="69"/>
      <c r="AZ48" s="69"/>
      <c r="BA48" s="69"/>
      <c r="BG48" s="58">
        <f>BG47</f>
        <v>254.81279999999995</v>
      </c>
      <c r="BH48" s="63">
        <f>BH47+AW29</f>
        <v>7.6968095999999999</v>
      </c>
      <c r="BI48" s="60">
        <f>BI47+AW29</f>
        <v>8.0016096000000001</v>
      </c>
      <c r="BJ48" s="58">
        <f>IF(AR29="",BJ47,AN45)</f>
        <v>7.8415444145941731</v>
      </c>
      <c r="BK48" s="58">
        <f>IF(AR29="",BK47,AQ45)</f>
        <v>8.1844919228222039</v>
      </c>
      <c r="BN48" s="58" t="s">
        <v>120</v>
      </c>
      <c r="BO48" s="58" t="s">
        <v>121</v>
      </c>
      <c r="BP48" s="58">
        <f>BP47+(IF($AR$25="",$BW$23,$BW$33)^2/(2*9.81))</f>
        <v>4.7507937444922259</v>
      </c>
      <c r="BQ48" s="58" t="s">
        <v>29</v>
      </c>
      <c r="BU48" s="58" t="s">
        <v>70</v>
      </c>
      <c r="BV48" s="58" t="s">
        <v>82</v>
      </c>
      <c r="BW48" s="60">
        <f>$AR$27</f>
        <v>0.38100000000000001</v>
      </c>
      <c r="BX48" s="59" t="s">
        <v>29</v>
      </c>
    </row>
    <row r="49" spans="2:76" ht="15" thickBot="1">
      <c r="B49" s="11"/>
      <c r="C49" s="12"/>
      <c r="D49" s="12"/>
      <c r="E49" s="12"/>
      <c r="F49" s="13"/>
      <c r="G49" s="20"/>
      <c r="H49" s="19"/>
      <c r="I49" s="19"/>
      <c r="J49" s="19"/>
      <c r="K49" s="19"/>
      <c r="L49" s="19"/>
      <c r="M49" s="19"/>
      <c r="N49" s="19"/>
      <c r="O49" s="19"/>
      <c r="P49" s="19"/>
      <c r="Q49" s="19"/>
      <c r="R49" s="19"/>
      <c r="S49" s="19"/>
      <c r="T49" s="19"/>
      <c r="U49" s="19"/>
      <c r="V49" s="19"/>
      <c r="W49" s="19"/>
      <c r="X49" s="19"/>
      <c r="Y49" s="19"/>
      <c r="Z49" s="19"/>
      <c r="AA49" s="19"/>
      <c r="AB49" s="19"/>
      <c r="AC49" s="12"/>
      <c r="AD49" s="12"/>
      <c r="AE49" s="16"/>
      <c r="AF49" s="17"/>
      <c r="AG49" s="12"/>
      <c r="AH49" s="12"/>
      <c r="AI49" s="12"/>
      <c r="AJ49" s="18"/>
      <c r="AK49" s="66"/>
      <c r="AL49" s="66"/>
      <c r="AM49" s="66"/>
      <c r="AN49" s="66"/>
      <c r="AO49" s="66"/>
      <c r="AP49" s="66"/>
      <c r="AQ49" s="66"/>
      <c r="AR49" s="66"/>
      <c r="AS49" s="66"/>
      <c r="AT49" s="66"/>
      <c r="AU49" s="66"/>
      <c r="AV49" s="66"/>
      <c r="AW49" s="66"/>
      <c r="AX49" s="66"/>
      <c r="AY49" s="66"/>
      <c r="AZ49" s="66"/>
      <c r="BA49" s="66"/>
      <c r="BF49" s="58">
        <v>9</v>
      </c>
      <c r="BG49" s="58">
        <f>BG29</f>
        <v>285.29279999999994</v>
      </c>
      <c r="BH49" s="58">
        <f>BH48+AL30*O30%</f>
        <v>8.0016096000000001</v>
      </c>
      <c r="BI49" s="60">
        <f>BH49+AR31</f>
        <v>8.3064096000000003</v>
      </c>
      <c r="BJ49" s="58">
        <f>IF(AR30="",BJ48,AN46-AL46)</f>
        <v>8.6945903044834161</v>
      </c>
      <c r="BK49" s="58">
        <f>IF(AR30="",BK48,AQ46-AL46)</f>
        <v>8.9140767097493558</v>
      </c>
      <c r="BU49" s="58" t="s">
        <v>71</v>
      </c>
      <c r="BV49" s="58" t="s">
        <v>83</v>
      </c>
      <c r="BW49" s="58">
        <f>PI()*(BW48/2)^2</f>
        <v>0.114009182796937</v>
      </c>
      <c r="BX49" s="59" t="s">
        <v>78</v>
      </c>
    </row>
    <row r="50" spans="2:76">
      <c r="B50" s="11"/>
      <c r="C50" s="12"/>
      <c r="D50" s="12"/>
      <c r="E50" s="12"/>
      <c r="F50" s="13"/>
      <c r="G50" s="20"/>
      <c r="H50" s="343" t="s">
        <v>164</v>
      </c>
      <c r="I50" s="344"/>
      <c r="J50" s="345"/>
      <c r="K50" s="357" t="s">
        <v>165</v>
      </c>
      <c r="L50" s="353"/>
      <c r="M50" s="358"/>
      <c r="N50" s="361" t="s">
        <v>166</v>
      </c>
      <c r="O50" s="353"/>
      <c r="P50" s="358"/>
      <c r="Q50" s="361" t="s">
        <v>122</v>
      </c>
      <c r="R50" s="353"/>
      <c r="S50" s="358"/>
      <c r="T50" s="349" t="s">
        <v>119</v>
      </c>
      <c r="U50" s="350"/>
      <c r="V50" s="350"/>
      <c r="W50" s="349" t="s">
        <v>163</v>
      </c>
      <c r="X50" s="350"/>
      <c r="Y50" s="350"/>
      <c r="Z50" s="352" t="s">
        <v>43</v>
      </c>
      <c r="AA50" s="353"/>
      <c r="AB50" s="354"/>
      <c r="AC50" s="12"/>
      <c r="AD50" s="12"/>
      <c r="AE50" s="16"/>
      <c r="AF50" s="17"/>
      <c r="AG50" s="12"/>
      <c r="AH50" s="12"/>
      <c r="AI50" s="12"/>
      <c r="AJ50" s="18"/>
      <c r="AK50" s="66"/>
      <c r="AL50" s="66"/>
      <c r="AM50" s="66"/>
      <c r="AN50" s="66"/>
      <c r="AO50" s="66"/>
      <c r="AP50" s="66"/>
      <c r="AQ50" s="66"/>
      <c r="AR50" s="66"/>
      <c r="AS50" s="66"/>
      <c r="AT50" s="66"/>
      <c r="AU50" s="66"/>
      <c r="AV50" s="66"/>
      <c r="AW50" s="66"/>
      <c r="AX50" s="66"/>
      <c r="AY50" s="66"/>
      <c r="AZ50" s="66"/>
      <c r="BA50" s="66"/>
      <c r="BG50" s="58">
        <f>BG49</f>
        <v>285.29279999999994</v>
      </c>
      <c r="BH50" s="63">
        <f>BH49+AW30</f>
        <v>8.1540096000000002</v>
      </c>
      <c r="BI50" s="60">
        <f>BI49+AW30</f>
        <v>8.4588096000000004</v>
      </c>
      <c r="BJ50" s="58">
        <f>IF(AR30="",BJ49,AN46)</f>
        <v>9.037537812711447</v>
      </c>
      <c r="BK50" s="58">
        <f>IF(AR30="",BK49,AQ46)</f>
        <v>9.2570242179773867</v>
      </c>
      <c r="BN50" s="58" t="s">
        <v>144</v>
      </c>
      <c r="BU50" s="58" t="s">
        <v>72</v>
      </c>
      <c r="BV50" s="58" t="s">
        <v>84</v>
      </c>
      <c r="BW50" s="61">
        <f>$AL$27</f>
        <v>30.48</v>
      </c>
      <c r="BX50" s="59" t="s">
        <v>29</v>
      </c>
    </row>
    <row r="51" spans="2:76" ht="15" thickBot="1">
      <c r="B51" s="11"/>
      <c r="C51" s="12"/>
      <c r="D51" s="12"/>
      <c r="E51" s="12"/>
      <c r="F51" s="13"/>
      <c r="G51" s="20"/>
      <c r="H51" s="346"/>
      <c r="I51" s="347"/>
      <c r="J51" s="348"/>
      <c r="K51" s="359"/>
      <c r="L51" s="355"/>
      <c r="M51" s="360"/>
      <c r="N51" s="355"/>
      <c r="O51" s="355"/>
      <c r="P51" s="360"/>
      <c r="Q51" s="355"/>
      <c r="R51" s="355"/>
      <c r="S51" s="360"/>
      <c r="T51" s="351"/>
      <c r="U51" s="351"/>
      <c r="V51" s="351"/>
      <c r="W51" s="351"/>
      <c r="X51" s="351"/>
      <c r="Y51" s="351"/>
      <c r="Z51" s="355"/>
      <c r="AA51" s="355"/>
      <c r="AB51" s="356"/>
      <c r="AC51" s="12"/>
      <c r="AD51" s="12"/>
      <c r="AE51" s="16"/>
      <c r="AF51" s="17"/>
      <c r="AG51" s="12"/>
      <c r="AH51" s="12"/>
      <c r="AI51" s="12"/>
      <c r="AJ51" s="18"/>
      <c r="AK51" s="66"/>
      <c r="AL51" s="334">
        <f>IF(AR23="","",BP21)</f>
        <v>689761.48637364211</v>
      </c>
      <c r="AM51" s="335"/>
      <c r="AN51" s="335"/>
      <c r="AO51" s="336">
        <f>IF(AR23="","",BP22)</f>
        <v>2.1457889084471965E-2</v>
      </c>
      <c r="AP51" s="337"/>
      <c r="AQ51" s="337"/>
      <c r="AR51" s="336">
        <f>IF(AR23="","",BP24)</f>
        <v>0.26901447861939448</v>
      </c>
      <c r="AS51" s="337"/>
      <c r="AT51" s="337"/>
      <c r="AU51" s="329">
        <f>IF(AR23="","",BP25)</f>
        <v>4.3624378057437188</v>
      </c>
      <c r="AV51" s="330"/>
      <c r="AW51" s="330"/>
      <c r="AX51" s="329">
        <f>IF(AR23="","",BP26)</f>
        <v>4.2161744786193935</v>
      </c>
      <c r="AY51" s="330"/>
      <c r="AZ51" s="330"/>
      <c r="BA51" s="329">
        <f t="shared" ref="BA51:BA60" si="15">IF(AR23="","",AT39)</f>
        <v>6.7055999999999996</v>
      </c>
      <c r="BB51" s="330"/>
      <c r="BC51" s="331"/>
      <c r="BF51" s="58">
        <v>10</v>
      </c>
      <c r="BG51" s="58">
        <f>BG30</f>
        <v>315.77279999999996</v>
      </c>
      <c r="BH51" s="58">
        <f>BH50+AL31*O31%</f>
        <v>8.4588096000000004</v>
      </c>
      <c r="BI51" s="60">
        <f>BH51+AR32</f>
        <v>8.7636096000000006</v>
      </c>
      <c r="BJ51" s="58">
        <f>IF(AR31="",BJ50,AN47-AL47)</f>
        <v>9.5834857921717873</v>
      </c>
      <c r="BK51" s="58">
        <f>IF(AR31="",BK50,AQ47-AL47)</f>
        <v>9.7069468951338784</v>
      </c>
      <c r="BN51" s="58" t="s">
        <v>123</v>
      </c>
      <c r="BO51" s="58" t="s">
        <v>124</v>
      </c>
      <c r="BP51" s="60">
        <f>$AP$25*10^-3</f>
        <v>7.6199999999999998E-4</v>
      </c>
      <c r="BQ51" s="58" t="s">
        <v>64</v>
      </c>
      <c r="BU51" s="58" t="s">
        <v>73</v>
      </c>
      <c r="BV51" s="58" t="s">
        <v>85</v>
      </c>
      <c r="BW51" s="61">
        <f>$O$27</f>
        <v>3</v>
      </c>
      <c r="BX51" s="59" t="s">
        <v>80</v>
      </c>
    </row>
    <row r="52" spans="2:76">
      <c r="B52" s="11"/>
      <c r="C52" s="12"/>
      <c r="D52" s="12"/>
      <c r="E52" s="12"/>
      <c r="F52" s="13"/>
      <c r="G52" s="20"/>
      <c r="H52" s="277">
        <v>1</v>
      </c>
      <c r="I52" s="278"/>
      <c r="J52" s="279"/>
      <c r="K52" s="91">
        <f>IF(G23="","",BP21)</f>
        <v>689761.48637364211</v>
      </c>
      <c r="L52" s="92"/>
      <c r="M52" s="92"/>
      <c r="N52" s="93">
        <f>IF(G23="","",BP22)</f>
        <v>2.1457889084471965E-2</v>
      </c>
      <c r="O52" s="94"/>
      <c r="P52" s="94"/>
      <c r="Q52" s="93">
        <f>IF(G23="","",CONVERT(BP24,"m","ft"))</f>
        <v>0.88259343379066435</v>
      </c>
      <c r="R52" s="94"/>
      <c r="S52" s="94"/>
      <c r="T52" s="80">
        <f>IF(G23="","",CONVERT(BP25,"m","ft"))</f>
        <v>14.312459992597502</v>
      </c>
      <c r="U52" s="81"/>
      <c r="V52" s="81"/>
      <c r="W52" s="80">
        <f>IF(G23="","",CONVERT(BP26,"m","ft"))</f>
        <v>13.832593433790663</v>
      </c>
      <c r="X52" s="81"/>
      <c r="Y52" s="81"/>
      <c r="Z52" s="80">
        <f t="shared" ref="Z52:Z61" si="16">IF(G23="","",S39)</f>
        <v>22</v>
      </c>
      <c r="AA52" s="81"/>
      <c r="AB52" s="82"/>
      <c r="AC52" s="12"/>
      <c r="AD52" s="12"/>
      <c r="AE52" s="16"/>
      <c r="AF52" s="314" t="str">
        <f>IF(AR23="","",IF(AX51&lt;BA51-AL11,"Acceptable","HGL Too High"))</f>
        <v>Acceptable</v>
      </c>
      <c r="AG52" s="332"/>
      <c r="AH52" s="332"/>
      <c r="AI52" s="332"/>
      <c r="AJ52" s="333"/>
      <c r="AK52" s="68"/>
      <c r="AL52" s="367">
        <f>IF(AR24="","",BP37)</f>
        <v>551809.1890989138</v>
      </c>
      <c r="AM52" s="368"/>
      <c r="AN52" s="368"/>
      <c r="AO52" s="369">
        <f>IF(AR24="","",BP38)</f>
        <v>2.1457844025699654E-2</v>
      </c>
      <c r="AP52" s="370"/>
      <c r="AQ52" s="370"/>
      <c r="AR52" s="369">
        <f>IF(AR24="","",BP40)</f>
        <v>0.14232629462092519</v>
      </c>
      <c r="AS52" s="370"/>
      <c r="AT52" s="370"/>
      <c r="AU52" s="364">
        <f>IF(AR24="","",BP41)</f>
        <v>4.5983726297242118</v>
      </c>
      <c r="AV52" s="365"/>
      <c r="AW52" s="365"/>
      <c r="AX52" s="364">
        <f>IF(AR24="","",BP42)</f>
        <v>4.5047641003646444</v>
      </c>
      <c r="AY52" s="365"/>
      <c r="AZ52" s="365"/>
      <c r="BA52" s="364">
        <f t="shared" si="15"/>
        <v>7.3151999999999999</v>
      </c>
      <c r="BB52" s="365"/>
      <c r="BC52" s="366"/>
      <c r="BG52" s="58">
        <f>BG51</f>
        <v>315.77279999999996</v>
      </c>
      <c r="BH52" s="63">
        <f>BH51+AW31</f>
        <v>8.6112096000000005</v>
      </c>
      <c r="BI52" s="60">
        <f>BI51+AW31</f>
        <v>8.9160096000000006</v>
      </c>
      <c r="BJ52" s="58">
        <f>IF(AR31="",BJ51,AN47)</f>
        <v>9.8029721974377271</v>
      </c>
      <c r="BK52" s="58">
        <f>IF(AR31="",BK51,AQ47)</f>
        <v>9.9264333003998182</v>
      </c>
      <c r="BN52" s="58" t="s">
        <v>125</v>
      </c>
      <c r="BO52" s="58" t="s">
        <v>126</v>
      </c>
      <c r="BP52" s="58">
        <f>1.31*10^-6</f>
        <v>1.31E-6</v>
      </c>
      <c r="BQ52" s="58" t="s">
        <v>139</v>
      </c>
      <c r="BU52" s="58" t="s">
        <v>74</v>
      </c>
      <c r="BV52" s="58" t="s">
        <v>86</v>
      </c>
      <c r="BW52" s="60">
        <f>$AN$27</f>
        <v>0.22712470704000001</v>
      </c>
      <c r="BX52" s="59" t="s">
        <v>79</v>
      </c>
    </row>
    <row r="53" spans="2:76">
      <c r="B53" s="11"/>
      <c r="C53" s="12"/>
      <c r="D53" s="12"/>
      <c r="E53" s="12"/>
      <c r="F53" s="13"/>
      <c r="G53" s="20"/>
      <c r="H53" s="280">
        <v>2</v>
      </c>
      <c r="I53" s="281"/>
      <c r="J53" s="282"/>
      <c r="K53" s="83">
        <f>IF(G24="","",BP37)</f>
        <v>551809.1890989138</v>
      </c>
      <c r="L53" s="84"/>
      <c r="M53" s="84"/>
      <c r="N53" s="85">
        <f>IF(G24="","",BP38)</f>
        <v>2.1457844025699654E-2</v>
      </c>
      <c r="O53" s="86"/>
      <c r="P53" s="86"/>
      <c r="Q53" s="85">
        <f>IF(G24="","",CONVERT(BP40,"m","ft"))</f>
        <v>0.46694978550172306</v>
      </c>
      <c r="R53" s="86"/>
      <c r="S53" s="86"/>
      <c r="T53" s="70">
        <f>IF(G24="","",CONVERT(BP41,"m","ft"))</f>
        <v>15.086524375735603</v>
      </c>
      <c r="U53" s="71"/>
      <c r="V53" s="71"/>
      <c r="W53" s="70">
        <f>IF(G24="","",CONVERT(BP42,"m","ft"))</f>
        <v>14.779409778099227</v>
      </c>
      <c r="X53" s="71"/>
      <c r="Y53" s="71"/>
      <c r="Z53" s="70">
        <f t="shared" si="16"/>
        <v>24</v>
      </c>
      <c r="AA53" s="71"/>
      <c r="AB53" s="72"/>
      <c r="AC53" s="12"/>
      <c r="AD53" s="12"/>
      <c r="AE53" s="16"/>
      <c r="AF53" s="314" t="str">
        <f>IF(AR24="","",IF(AX52&lt;BA52-AL11,"Acceptable","HGL Too High"))</f>
        <v>Acceptable</v>
      </c>
      <c r="AG53" s="332"/>
      <c r="AH53" s="332"/>
      <c r="AI53" s="332"/>
      <c r="AJ53" s="333"/>
      <c r="AK53" s="68"/>
      <c r="AL53" s="367">
        <f>IF(AR25="","",BP53)</f>
        <v>603541.30057693692</v>
      </c>
      <c r="AM53" s="368"/>
      <c r="AN53" s="368"/>
      <c r="AO53" s="369">
        <f>IF(AR25="","",BP54)</f>
        <v>2.2325014160894965E-2</v>
      </c>
      <c r="AP53" s="370"/>
      <c r="AQ53" s="370"/>
      <c r="AR53" s="369">
        <f>IF(AR25="","",BP56)</f>
        <v>0.27676135504337829</v>
      </c>
      <c r="AS53" s="370"/>
      <c r="AT53" s="370"/>
      <c r="AU53" s="364">
        <f>IF(AR25="","",BP57)</f>
        <v>5.0275550995356042</v>
      </c>
      <c r="AV53" s="365"/>
      <c r="AW53" s="365"/>
      <c r="AX53" s="364">
        <f>IF(AR25="","",BP58)</f>
        <v>4.8751339847675901</v>
      </c>
      <c r="AY53" s="365"/>
      <c r="AZ53" s="365"/>
      <c r="BA53" s="364">
        <f t="shared" si="15"/>
        <v>7.9248000000000003</v>
      </c>
      <c r="BB53" s="365"/>
      <c r="BC53" s="366"/>
      <c r="BF53" s="58">
        <v>11</v>
      </c>
      <c r="BG53" s="61">
        <f>BG31</f>
        <v>346.25279999999998</v>
      </c>
      <c r="BH53" s="58">
        <f>BH52+AL32*O32%</f>
        <v>8.9160096000000006</v>
      </c>
      <c r="BI53" s="60">
        <f>BH53+AR32</f>
        <v>9.2208096000000008</v>
      </c>
      <c r="BJ53" s="58">
        <f>IF(AR32="",BJ52,AN48-AL48)</f>
        <v>10.11006666916621</v>
      </c>
      <c r="BK53" s="58">
        <f>IF(AR32="",BK52,AQ48-AL48)</f>
        <v>10.233527772128301</v>
      </c>
      <c r="BN53" s="58" t="s">
        <v>127</v>
      </c>
      <c r="BO53" s="58" t="s">
        <v>128</v>
      </c>
      <c r="BP53" s="58">
        <f>($BW$33*$BW$28/BP52)</f>
        <v>603541.30057693692</v>
      </c>
      <c r="BU53" s="58" t="s">
        <v>75</v>
      </c>
      <c r="BV53" s="58" t="s">
        <v>87</v>
      </c>
      <c r="BW53" s="58">
        <f>BW52/BW49</f>
        <v>1.9921615212744248</v>
      </c>
      <c r="BX53" s="59" t="s">
        <v>81</v>
      </c>
    </row>
    <row r="54" spans="2:76">
      <c r="B54" s="11"/>
      <c r="C54" s="12"/>
      <c r="D54" s="12"/>
      <c r="E54" s="12"/>
      <c r="F54" s="13"/>
      <c r="G54" s="20"/>
      <c r="H54" s="280">
        <v>3</v>
      </c>
      <c r="I54" s="281"/>
      <c r="J54" s="282"/>
      <c r="K54" s="83">
        <f>IF(G25="","",BP53)</f>
        <v>603541.30057693692</v>
      </c>
      <c r="L54" s="84"/>
      <c r="M54" s="84"/>
      <c r="N54" s="85">
        <f>IF(G25="","",BP54)</f>
        <v>2.2325014160894965E-2</v>
      </c>
      <c r="O54" s="86"/>
      <c r="P54" s="86"/>
      <c r="Q54" s="85">
        <f>IF(G25="","",CONVERT(BP56,"m","ft"))</f>
        <v>0.90800969502420703</v>
      </c>
      <c r="R54" s="86"/>
      <c r="S54" s="86"/>
      <c r="T54" s="70">
        <f>IF(G25="","",CONVERT(BP57,"m","ft"))</f>
        <v>16.494603344933083</v>
      </c>
      <c r="U54" s="71"/>
      <c r="V54" s="71"/>
      <c r="W54" s="70">
        <f>IF(G25="","",CONVERT(BP58,"m","ft"))</f>
        <v>15.99453407075981</v>
      </c>
      <c r="X54" s="71"/>
      <c r="Y54" s="71"/>
      <c r="Z54" s="70">
        <f t="shared" si="16"/>
        <v>26</v>
      </c>
      <c r="AA54" s="71"/>
      <c r="AB54" s="72"/>
      <c r="AC54" s="12"/>
      <c r="AD54" s="12"/>
      <c r="AE54" s="16"/>
      <c r="AF54" s="314" t="str">
        <f>IF(AR25="","",IF(AX53&lt;BA53-AL11,"Acceptable","HGL Too High"))</f>
        <v>Acceptable</v>
      </c>
      <c r="AG54" s="332"/>
      <c r="AH54" s="332"/>
      <c r="AI54" s="332"/>
      <c r="AJ54" s="333"/>
      <c r="AK54" s="68"/>
      <c r="AL54" s="367">
        <f>IF(AR26="","",BP69)</f>
        <v>724249.5606923243</v>
      </c>
      <c r="AM54" s="368"/>
      <c r="AN54" s="368"/>
      <c r="AO54" s="369">
        <f>IF(AR26="","",BP70)</f>
        <v>2.3420271828684083E-2</v>
      </c>
      <c r="AP54" s="370"/>
      <c r="AQ54" s="370"/>
      <c r="AR54" s="369">
        <f>IF(AR26="","",BP72)</f>
        <v>0.5921776827681442</v>
      </c>
      <c r="AS54" s="370"/>
      <c r="AT54" s="370"/>
      <c r="AU54" s="364">
        <f>IF(AR26="","",BP73)</f>
        <v>5.9357932058867018</v>
      </c>
      <c r="AV54" s="365"/>
      <c r="AW54" s="365"/>
      <c r="AX54" s="364">
        <f>IF(AR26="","",BP74)</f>
        <v>5.619732782303748</v>
      </c>
      <c r="AY54" s="365"/>
      <c r="AZ54" s="365"/>
      <c r="BA54" s="364">
        <f t="shared" si="15"/>
        <v>8.5343999999999998</v>
      </c>
      <c r="BB54" s="365"/>
      <c r="BC54" s="366"/>
      <c r="BG54" s="58">
        <f>BG53</f>
        <v>346.25279999999998</v>
      </c>
      <c r="BH54" s="63">
        <f>BH53+AW32</f>
        <v>9.0684096000000007</v>
      </c>
      <c r="BI54" s="60">
        <f>BI53+AW32</f>
        <v>9.3732096000000009</v>
      </c>
      <c r="BJ54" s="58">
        <f>IF(AR32="",BJ53,AN48)</f>
        <v>10.233527772128301</v>
      </c>
      <c r="BK54" s="58">
        <f>IF(AR32="",BK53,AQ48)</f>
        <v>10.356988875090392</v>
      </c>
      <c r="BN54" s="58" t="s">
        <v>129</v>
      </c>
      <c r="BO54" s="58" t="s">
        <v>130</v>
      </c>
      <c r="BP54" s="58">
        <f>(1/(-2*LOG10((BP51/(3.7*$BW$28)))+(5.1286/BP53^0.89)))^2</f>
        <v>2.2325014160894965E-2</v>
      </c>
      <c r="BQ54" s="62"/>
      <c r="BU54" s="58" t="s">
        <v>76</v>
      </c>
      <c r="BV54" s="58" t="s">
        <v>88</v>
      </c>
      <c r="BW54" s="63">
        <f>BW45+$AW$26</f>
        <v>5.5936896000000003</v>
      </c>
      <c r="BX54" s="59" t="s">
        <v>29</v>
      </c>
    </row>
    <row r="55" spans="2:76">
      <c r="B55" s="11"/>
      <c r="C55" s="12"/>
      <c r="D55" s="12"/>
      <c r="E55" s="12"/>
      <c r="F55" s="13"/>
      <c r="G55" s="20"/>
      <c r="H55" s="280">
        <v>4</v>
      </c>
      <c r="I55" s="281"/>
      <c r="J55" s="282"/>
      <c r="K55" s="83">
        <f>IF(G26="","",BP69)</f>
        <v>724249.5606923243</v>
      </c>
      <c r="L55" s="84"/>
      <c r="M55" s="84"/>
      <c r="N55" s="85">
        <f>IF(G26="","",BP70)</f>
        <v>2.3420271828684083E-2</v>
      </c>
      <c r="O55" s="86"/>
      <c r="P55" s="86"/>
      <c r="Q55" s="85">
        <f>IF(G26="","",CONVERT(BP72,"m","ft"))</f>
        <v>1.9428401665621531</v>
      </c>
      <c r="R55" s="86"/>
      <c r="S55" s="86"/>
      <c r="T55" s="70">
        <f>IF(G26="","",CONVERT(BP73,"m","ft"))</f>
        <v>19.474387158420939</v>
      </c>
      <c r="U55" s="71"/>
      <c r="V55" s="71"/>
      <c r="W55" s="70">
        <f>IF(G26="","",CONVERT(BP74,"m","ft"))</f>
        <v>18.437443511495236</v>
      </c>
      <c r="X55" s="71"/>
      <c r="Y55" s="71"/>
      <c r="Z55" s="70">
        <f t="shared" si="16"/>
        <v>28</v>
      </c>
      <c r="AA55" s="71"/>
      <c r="AB55" s="72"/>
      <c r="AC55" s="12"/>
      <c r="AD55" s="12"/>
      <c r="AE55" s="16"/>
      <c r="AF55" s="314" t="str">
        <f>IF(AR26="","",IF(AX54&lt;BA54-AL11,"Acceptable","HGL Too High"))</f>
        <v>Acceptable</v>
      </c>
      <c r="AG55" s="332"/>
      <c r="AH55" s="332"/>
      <c r="AI55" s="332"/>
      <c r="AJ55" s="333"/>
      <c r="AK55" s="68"/>
      <c r="AL55" s="367">
        <f>IF(AR27="","",BP85)</f>
        <v>579399.64855385944</v>
      </c>
      <c r="AM55" s="368"/>
      <c r="AN55" s="368"/>
      <c r="AO55" s="369">
        <f>IF(AR27="","",BP86)</f>
        <v>2.3420222632855311E-2</v>
      </c>
      <c r="AP55" s="370"/>
      <c r="AQ55" s="370"/>
      <c r="AR55" s="369">
        <f>IF(AR27="","",BP88)</f>
        <v>0.37899292087026298</v>
      </c>
      <c r="AS55" s="370"/>
      <c r="AT55" s="370"/>
      <c r="AU55" s="364">
        <f>IF(AR27="","",BP89)</f>
        <v>6.8331252214330078</v>
      </c>
      <c r="AV55" s="365"/>
      <c r="AW55" s="365"/>
      <c r="AX55" s="364">
        <f>IF(AR27="","",BP90)</f>
        <v>6.6308465503399177</v>
      </c>
      <c r="AY55" s="365"/>
      <c r="AZ55" s="365"/>
      <c r="BA55" s="364">
        <f t="shared" si="15"/>
        <v>9.1440000000000001</v>
      </c>
      <c r="BB55" s="365"/>
      <c r="BC55" s="366"/>
      <c r="BN55" s="58" t="s">
        <v>131</v>
      </c>
      <c r="BO55" s="58" t="s">
        <v>132</v>
      </c>
      <c r="BP55" s="58">
        <f>BP54*$BW$33^2/(2*9.81*$BW$28)</f>
        <v>7.4427024182312047E-3</v>
      </c>
      <c r="BQ55" s="58" t="s">
        <v>29</v>
      </c>
      <c r="BU55" s="58" t="s">
        <v>77</v>
      </c>
      <c r="BV55" s="58" t="s">
        <v>89</v>
      </c>
      <c r="BW55" s="58">
        <f>BW54+BW50*BW51%</f>
        <v>6.5080895999999999</v>
      </c>
      <c r="BX55" s="59" t="s">
        <v>29</v>
      </c>
    </row>
    <row r="56" spans="2:76">
      <c r="B56" s="11"/>
      <c r="C56" s="12"/>
      <c r="D56" s="12"/>
      <c r="E56" s="12"/>
      <c r="F56" s="13"/>
      <c r="G56" s="20"/>
      <c r="H56" s="280">
        <v>5</v>
      </c>
      <c r="I56" s="281"/>
      <c r="J56" s="282"/>
      <c r="K56" s="83">
        <f>IF(G27="","",BP85)</f>
        <v>579399.64855385944</v>
      </c>
      <c r="L56" s="84"/>
      <c r="M56" s="84"/>
      <c r="N56" s="85">
        <f>IF(G27="","",BP86)</f>
        <v>2.3420222632855311E-2</v>
      </c>
      <c r="O56" s="86"/>
      <c r="P56" s="86"/>
      <c r="Q56" s="85">
        <f>IF(G27="","",CONVERT(BP88,"m","ft"))</f>
        <v>1.2434150947187106</v>
      </c>
      <c r="R56" s="86"/>
      <c r="S56" s="86"/>
      <c r="T56" s="70">
        <f>IF(G27="","",CONVERT(BP89,"m","ft"))</f>
        <v>22.418389834097795</v>
      </c>
      <c r="U56" s="71"/>
      <c r="V56" s="71"/>
      <c r="W56" s="70">
        <f>IF(G27="","",CONVERT(BP90,"m","ft"))</f>
        <v>21.754745900065348</v>
      </c>
      <c r="X56" s="71"/>
      <c r="Y56" s="71"/>
      <c r="Z56" s="70">
        <f t="shared" si="16"/>
        <v>30</v>
      </c>
      <c r="AA56" s="71"/>
      <c r="AB56" s="72"/>
      <c r="AC56" s="12"/>
      <c r="AD56" s="12"/>
      <c r="AE56" s="16"/>
      <c r="AF56" s="314" t="str">
        <f>IF(AR27="","",IF(AX55&lt;BA55-AL11,"Acceptable","HGL Too High"))</f>
        <v>Acceptable</v>
      </c>
      <c r="AG56" s="332"/>
      <c r="AH56" s="332"/>
      <c r="AI56" s="332"/>
      <c r="AJ56" s="333"/>
      <c r="AK56" s="68"/>
      <c r="AL56" s="367">
        <f>IF(AR28="","",BP101)</f>
        <v>531116.34450770449</v>
      </c>
      <c r="AM56" s="368"/>
      <c r="AN56" s="368"/>
      <c r="AO56" s="369">
        <f>IF(AR28="","",BP102)</f>
        <v>2.3420200641353153E-2</v>
      </c>
      <c r="AP56" s="370"/>
      <c r="AQ56" s="370"/>
      <c r="AR56" s="369">
        <f>IF(AR28="","",BP104)</f>
        <v>0.38215083637229402</v>
      </c>
      <c r="AS56" s="370"/>
      <c r="AT56" s="370"/>
      <c r="AU56" s="364">
        <f>IF(AR28="","",BP105)</f>
        <v>7.3852463300432456</v>
      </c>
      <c r="AV56" s="365"/>
      <c r="AW56" s="365"/>
      <c r="AX56" s="364">
        <f>IF(AR28="","",BP106)</f>
        <v>7.2152760578053021</v>
      </c>
      <c r="AY56" s="365"/>
      <c r="AZ56" s="365"/>
      <c r="BA56" s="364">
        <f t="shared" si="15"/>
        <v>10.058400000000001</v>
      </c>
      <c r="BB56" s="365"/>
      <c r="BC56" s="366"/>
      <c r="BG56" s="58">
        <f t="shared" ref="BG56:BK65" si="17">CONVERT(BG33,"m","ft")</f>
        <v>0</v>
      </c>
      <c r="BH56" s="58">
        <f t="shared" si="17"/>
        <v>13</v>
      </c>
      <c r="BI56" s="58">
        <f t="shared" si="17"/>
        <v>14.75</v>
      </c>
      <c r="BJ56" s="58">
        <f t="shared" si="17"/>
        <v>12.95</v>
      </c>
      <c r="BK56" s="58">
        <f t="shared" si="17"/>
        <v>13.42986655880684</v>
      </c>
      <c r="BN56" s="58" t="s">
        <v>133</v>
      </c>
      <c r="BO56" s="58" t="s">
        <v>134</v>
      </c>
      <c r="BP56" s="58">
        <f>BP55*$BW$30</f>
        <v>0.27676135504337829</v>
      </c>
      <c r="BQ56" s="58" t="s">
        <v>29</v>
      </c>
    </row>
    <row r="57" spans="2:76">
      <c r="B57" s="11"/>
      <c r="C57" s="12"/>
      <c r="D57" s="12"/>
      <c r="E57" s="12"/>
      <c r="F57" s="13"/>
      <c r="G57" s="20"/>
      <c r="H57" s="280">
        <v>6</v>
      </c>
      <c r="I57" s="281"/>
      <c r="J57" s="282"/>
      <c r="K57" s="83">
        <f>IF(G28="","",BP101)</f>
        <v>531116.34450770449</v>
      </c>
      <c r="L57" s="84"/>
      <c r="M57" s="84"/>
      <c r="N57" s="85">
        <f>IF(G28="","",BP102)</f>
        <v>2.3420200641353153E-2</v>
      </c>
      <c r="O57" s="86"/>
      <c r="P57" s="86"/>
      <c r="Q57" s="85">
        <f>IF(G28="","",CONVERT(BP104,"m","ft"))</f>
        <v>1.2537757098828546</v>
      </c>
      <c r="R57" s="86"/>
      <c r="S57" s="86"/>
      <c r="T57" s="70">
        <f>IF(G28="","",CONVERT(BP105,"m","ft"))</f>
        <v>24.229810794105134</v>
      </c>
      <c r="U57" s="71"/>
      <c r="V57" s="71"/>
      <c r="W57" s="70">
        <f>IF(G28="","",CONVERT(BP106,"m","ft"))</f>
        <v>23.67216554398065</v>
      </c>
      <c r="X57" s="71"/>
      <c r="Y57" s="71"/>
      <c r="Z57" s="70">
        <f t="shared" si="16"/>
        <v>33</v>
      </c>
      <c r="AA57" s="71"/>
      <c r="AB57" s="72"/>
      <c r="AC57" s="12"/>
      <c r="AD57" s="12"/>
      <c r="AE57" s="16"/>
      <c r="AF57" s="314" t="str">
        <f>IF(AR28="","",IF(AX56&lt;BA56-AL11,"Acceptable","HGL Too High"))</f>
        <v>Acceptable</v>
      </c>
      <c r="AG57" s="332"/>
      <c r="AH57" s="332"/>
      <c r="AI57" s="332"/>
      <c r="AJ57" s="333"/>
      <c r="AK57" s="68"/>
      <c r="AL57" s="367">
        <f>IF(AR29="","",BP117)</f>
        <v>482833.04046154948</v>
      </c>
      <c r="AM57" s="368"/>
      <c r="AN57" s="368"/>
      <c r="AO57" s="369">
        <f>IF(AR29="","",BP118)</f>
        <v>2.3420174515239429E-2</v>
      </c>
      <c r="AP57" s="370"/>
      <c r="AQ57" s="370"/>
      <c r="AR57" s="369">
        <f>IF(AR29="","",BP120)</f>
        <v>0.31582678518072593</v>
      </c>
      <c r="AS57" s="370"/>
      <c r="AT57" s="370"/>
      <c r="AU57" s="364">
        <f>IF(AR29="","",BP121)</f>
        <v>7.8415444145941731</v>
      </c>
      <c r="AV57" s="365"/>
      <c r="AW57" s="365"/>
      <c r="AX57" s="364">
        <f>IF(AR29="","",BP122)</f>
        <v>7.7010731152239718</v>
      </c>
      <c r="AY57" s="365"/>
      <c r="AZ57" s="365"/>
      <c r="BA57" s="364">
        <f t="shared" si="15"/>
        <v>11.2776</v>
      </c>
      <c r="BB57" s="365"/>
      <c r="BC57" s="366"/>
      <c r="BG57" s="58">
        <f t="shared" si="17"/>
        <v>0</v>
      </c>
      <c r="BH57" s="58">
        <f t="shared" si="17"/>
        <v>13</v>
      </c>
      <c r="BI57" s="58">
        <f t="shared" si="17"/>
        <v>14.75</v>
      </c>
      <c r="BJ57" s="58">
        <f t="shared" si="17"/>
        <v>12.95</v>
      </c>
      <c r="BK57" s="58">
        <f t="shared" si="17"/>
        <v>13.42986655880684</v>
      </c>
      <c r="BN57" s="58" t="s">
        <v>135</v>
      </c>
      <c r="BO57" s="58" t="s">
        <v>136</v>
      </c>
      <c r="BP57" s="58">
        <f>BP48+BP56</f>
        <v>5.0275550995356042</v>
      </c>
      <c r="BQ57" s="58" t="s">
        <v>29</v>
      </c>
      <c r="BU57" s="58" t="s">
        <v>94</v>
      </c>
    </row>
    <row r="58" spans="2:76">
      <c r="B58" s="11"/>
      <c r="C58" s="12"/>
      <c r="D58" s="12"/>
      <c r="E58" s="12"/>
      <c r="F58" s="13"/>
      <c r="G58" s="20"/>
      <c r="H58" s="280">
        <v>7</v>
      </c>
      <c r="I58" s="281"/>
      <c r="J58" s="282"/>
      <c r="K58" s="83">
        <f>IF(G29="","",BP117)</f>
        <v>482833.04046154948</v>
      </c>
      <c r="L58" s="84"/>
      <c r="M58" s="84"/>
      <c r="N58" s="85">
        <f>IF(G29="","",BP118)</f>
        <v>2.3420174515239429E-2</v>
      </c>
      <c r="O58" s="86"/>
      <c r="P58" s="86"/>
      <c r="Q58" s="85">
        <f>IF(G29="","",CONVERT(BP120,"m","ft"))</f>
        <v>1.0361771167346652</v>
      </c>
      <c r="R58" s="86"/>
      <c r="S58" s="86"/>
      <c r="T58" s="70">
        <f>IF(G29="","",CONVERT(BP121,"m","ft"))</f>
        <v>25.726851753917888</v>
      </c>
      <c r="U58" s="71"/>
      <c r="V58" s="71"/>
      <c r="W58" s="70">
        <f>IF(G29="","",CONVERT(BP122,"m","ft"))</f>
        <v>25.265987910839801</v>
      </c>
      <c r="X58" s="71"/>
      <c r="Y58" s="71"/>
      <c r="Z58" s="70">
        <f t="shared" si="16"/>
        <v>37</v>
      </c>
      <c r="AA58" s="71"/>
      <c r="AB58" s="72"/>
      <c r="AC58" s="12"/>
      <c r="AD58" s="12"/>
      <c r="AE58" s="16"/>
      <c r="AF58" s="314" t="str">
        <f>IF(AR29="","",IF(AX57&lt;BA57-AL11,"Acceptable","HGL Too High"))</f>
        <v>Acceptable</v>
      </c>
      <c r="AG58" s="332"/>
      <c r="AH58" s="332"/>
      <c r="AI58" s="332"/>
      <c r="AJ58" s="333"/>
      <c r="AK58" s="68"/>
      <c r="AL58" s="367">
        <f>IF(AR30="","",BP133)</f>
        <v>603541.30057693692</v>
      </c>
      <c r="AM58" s="368"/>
      <c r="AN58" s="368"/>
      <c r="AO58" s="369">
        <f>IF(AR30="","",BP134)</f>
        <v>2.487394920280454E-2</v>
      </c>
      <c r="AP58" s="370"/>
      <c r="AQ58" s="370"/>
      <c r="AR58" s="369">
        <f>IF(AR30="","",BP136)</f>
        <v>0.85304588988924368</v>
      </c>
      <c r="AS58" s="370"/>
      <c r="AT58" s="370"/>
      <c r="AU58" s="364">
        <f>IF(AR30="","",BP137)</f>
        <v>9.037537812711447</v>
      </c>
      <c r="AV58" s="365"/>
      <c r="AW58" s="365"/>
      <c r="AX58" s="364">
        <f>IF(AR30="","",BP138)</f>
        <v>8.6945903044834161</v>
      </c>
      <c r="AY58" s="365"/>
      <c r="AZ58" s="365"/>
      <c r="BA58" s="364">
        <f t="shared" si="15"/>
        <v>11.2776</v>
      </c>
      <c r="BB58" s="365"/>
      <c r="BC58" s="366"/>
      <c r="BG58" s="58">
        <f t="shared" si="17"/>
        <v>150</v>
      </c>
      <c r="BH58" s="58">
        <f t="shared" si="17"/>
        <v>13.75</v>
      </c>
      <c r="BI58" s="58">
        <f t="shared" si="17"/>
        <v>15.5</v>
      </c>
      <c r="BJ58" s="58">
        <f t="shared" si="17"/>
        <v>13.832593433790663</v>
      </c>
      <c r="BK58" s="58">
        <f t="shared" si="17"/>
        <v>14.139708031427038</v>
      </c>
      <c r="BN58" s="58" t="s">
        <v>137</v>
      </c>
      <c r="BO58" s="58" t="s">
        <v>138</v>
      </c>
      <c r="BP58" s="58">
        <f>BP57-$BW$33^2/(2*9.81)</f>
        <v>4.8751339847675901</v>
      </c>
      <c r="BQ58" s="58" t="s">
        <v>29</v>
      </c>
      <c r="BU58" s="58" t="s">
        <v>70</v>
      </c>
      <c r="BV58" s="58" t="s">
        <v>82</v>
      </c>
      <c r="BW58" s="60">
        <f>$AR$28</f>
        <v>0.38100000000000001</v>
      </c>
      <c r="BX58" s="59" t="s">
        <v>29</v>
      </c>
    </row>
    <row r="59" spans="2:76">
      <c r="B59" s="11"/>
      <c r="C59" s="12"/>
      <c r="D59" s="12"/>
      <c r="E59" s="12"/>
      <c r="F59" s="13"/>
      <c r="G59" s="20"/>
      <c r="H59" s="280">
        <v>8</v>
      </c>
      <c r="I59" s="281"/>
      <c r="J59" s="282"/>
      <c r="K59" s="83">
        <f>IF(G30="","",BP133)</f>
        <v>603541.30057693692</v>
      </c>
      <c r="L59" s="84"/>
      <c r="M59" s="84"/>
      <c r="N59" s="85">
        <f>IF(G30="","",BP134)</f>
        <v>2.487394920280454E-2</v>
      </c>
      <c r="O59" s="86"/>
      <c r="P59" s="86"/>
      <c r="Q59" s="85">
        <f>IF(G30="","",CONVERT(BP136,"m","ft"))</f>
        <v>2.7987069878256028</v>
      </c>
      <c r="R59" s="86"/>
      <c r="S59" s="86"/>
      <c r="T59" s="70">
        <f>IF(G30="","",CONVERT(BP137,"m","ft"))</f>
        <v>29.650714608633358</v>
      </c>
      <c r="U59" s="71"/>
      <c r="V59" s="71"/>
      <c r="W59" s="70">
        <f>IF(G30="","",CONVERT(BP138,"m","ft"))</f>
        <v>28.525558741743492</v>
      </c>
      <c r="X59" s="71"/>
      <c r="Y59" s="71"/>
      <c r="Z59" s="70">
        <f t="shared" si="16"/>
        <v>37</v>
      </c>
      <c r="AA59" s="71"/>
      <c r="AB59" s="72"/>
      <c r="AC59" s="12"/>
      <c r="AD59" s="12"/>
      <c r="AE59" s="16"/>
      <c r="AF59" s="314" t="str">
        <f>IF(AR30="","",IF(AX58&lt;BA58-AL11,"Acceptable","HGL Too High"))</f>
        <v>Acceptable</v>
      </c>
      <c r="AG59" s="332"/>
      <c r="AH59" s="332"/>
      <c r="AI59" s="332"/>
      <c r="AJ59" s="333"/>
      <c r="AK59" s="68"/>
      <c r="AL59" s="367">
        <f>IF(AR31="","",BP149)</f>
        <v>482833.04046154965</v>
      </c>
      <c r="AM59" s="368"/>
      <c r="AN59" s="368"/>
      <c r="AO59" s="369">
        <f>IF(AR31="","",BP150)</f>
        <v>2.4873885870008404E-2</v>
      </c>
      <c r="AP59" s="370"/>
      <c r="AQ59" s="370"/>
      <c r="AR59" s="369">
        <f>IF(AR31="","",BP152)</f>
        <v>0.54594797946034013</v>
      </c>
      <c r="AS59" s="370"/>
      <c r="AT59" s="370"/>
      <c r="AU59" s="364">
        <f>IF(AR31="","",BP153)</f>
        <v>9.8029721974377271</v>
      </c>
      <c r="AV59" s="365"/>
      <c r="AW59" s="365"/>
      <c r="AX59" s="364">
        <f>IF(AR31="","",BP154)</f>
        <v>9.5834857921717873</v>
      </c>
      <c r="AY59" s="365"/>
      <c r="AZ59" s="365"/>
      <c r="BA59" s="364">
        <f t="shared" si="15"/>
        <v>11.5824</v>
      </c>
      <c r="BB59" s="365"/>
      <c r="BC59" s="366"/>
      <c r="BG59" s="58">
        <f t="shared" si="17"/>
        <v>150</v>
      </c>
      <c r="BH59" s="58">
        <f t="shared" si="17"/>
        <v>14.25</v>
      </c>
      <c r="BI59" s="58">
        <f t="shared" si="17"/>
        <v>16</v>
      </c>
      <c r="BJ59" s="58">
        <f t="shared" si="17"/>
        <v>14.312459992597502</v>
      </c>
      <c r="BK59" s="58">
        <f t="shared" si="17"/>
        <v>14.619574590233878</v>
      </c>
      <c r="BU59" s="58" t="s">
        <v>71</v>
      </c>
      <c r="BV59" s="58" t="s">
        <v>83</v>
      </c>
      <c r="BW59" s="58">
        <f>PI()*(BW58/2)^2</f>
        <v>0.114009182796937</v>
      </c>
      <c r="BX59" s="59" t="s">
        <v>78</v>
      </c>
    </row>
    <row r="60" spans="2:76" ht="15" thickBot="1">
      <c r="B60" s="11"/>
      <c r="C60" s="12"/>
      <c r="D60" s="12"/>
      <c r="E60" s="12"/>
      <c r="F60" s="13"/>
      <c r="G60" s="20"/>
      <c r="H60" s="280">
        <v>9</v>
      </c>
      <c r="I60" s="281"/>
      <c r="J60" s="282"/>
      <c r="K60" s="83">
        <f>IF(G31="","",BP149)</f>
        <v>482833.04046154965</v>
      </c>
      <c r="L60" s="84"/>
      <c r="M60" s="84"/>
      <c r="N60" s="85">
        <f>IF(G31="","",BP150)</f>
        <v>2.4873885870008404E-2</v>
      </c>
      <c r="O60" s="86"/>
      <c r="P60" s="86"/>
      <c r="Q60" s="85">
        <f>IF(G31="","",CONVERT(BP152,"m","ft"))</f>
        <v>1.7911679116152892</v>
      </c>
      <c r="R60" s="86"/>
      <c r="S60" s="86"/>
      <c r="T60" s="70">
        <f>IF(G31="","",CONVERT(BP153,"m","ft"))</f>
        <v>32.161982275058158</v>
      </c>
      <c r="U60" s="71"/>
      <c r="V60" s="71"/>
      <c r="W60" s="70">
        <f>IF(G31="","",CONVERT(BP154,"m","ft"))</f>
        <v>31.441882520248647</v>
      </c>
      <c r="X60" s="71"/>
      <c r="Y60" s="71"/>
      <c r="Z60" s="70">
        <f t="shared" si="16"/>
        <v>38</v>
      </c>
      <c r="AA60" s="71"/>
      <c r="AB60" s="72"/>
      <c r="AC60" s="12"/>
      <c r="AD60" s="12"/>
      <c r="AE60" s="16"/>
      <c r="AF60" s="314" t="str">
        <f>IF(AR31="","",IF(AX59&lt;BA59-AL11,"Acceptable","HGL Too High"))</f>
        <v>Acceptable</v>
      </c>
      <c r="AG60" s="332"/>
      <c r="AH60" s="332"/>
      <c r="AI60" s="332"/>
      <c r="AJ60" s="333"/>
      <c r="AK60" s="68"/>
      <c r="AL60" s="371">
        <f>IF(AR32="","",BP165)</f>
        <v>362124.78034616221</v>
      </c>
      <c r="AM60" s="372"/>
      <c r="AN60" s="372"/>
      <c r="AO60" s="373">
        <f>IF(AR32="","",BP166)</f>
        <v>2.4873783269438024E-2</v>
      </c>
      <c r="AP60" s="374"/>
      <c r="AQ60" s="374"/>
      <c r="AR60" s="373">
        <f>IF(AR32="","",BP168)</f>
        <v>0.30709447172848298</v>
      </c>
      <c r="AS60" s="374"/>
      <c r="AT60" s="374"/>
      <c r="AU60" s="377">
        <f>IF(AR32="","",BP169)</f>
        <v>10.233527772128301</v>
      </c>
      <c r="AV60" s="378"/>
      <c r="AW60" s="378"/>
      <c r="AX60" s="377">
        <f>IF(AR32="","",BP170)</f>
        <v>10.11006666916621</v>
      </c>
      <c r="AY60" s="378"/>
      <c r="AZ60" s="378"/>
      <c r="BA60" s="377">
        <f t="shared" si="15"/>
        <v>12.4968</v>
      </c>
      <c r="BB60" s="378"/>
      <c r="BC60" s="379"/>
      <c r="BG60" s="58">
        <f t="shared" si="17"/>
        <v>273.99999999999994</v>
      </c>
      <c r="BH60" s="58">
        <f t="shared" si="17"/>
        <v>15.242000000000001</v>
      </c>
      <c r="BI60" s="58">
        <f t="shared" si="17"/>
        <v>16.742000000000001</v>
      </c>
      <c r="BJ60" s="58">
        <f t="shared" si="17"/>
        <v>14.779409778099227</v>
      </c>
      <c r="BK60" s="58">
        <f t="shared" si="17"/>
        <v>15.279479052272501</v>
      </c>
      <c r="BN60" s="58" t="s">
        <v>145</v>
      </c>
      <c r="BU60" s="58" t="s">
        <v>72</v>
      </c>
      <c r="BV60" s="58" t="s">
        <v>84</v>
      </c>
      <c r="BW60" s="61">
        <f>$AL$28</f>
        <v>36.576000000000001</v>
      </c>
      <c r="BX60" s="59" t="s">
        <v>29</v>
      </c>
    </row>
    <row r="61" spans="2:76" ht="15" thickBot="1">
      <c r="B61" s="11"/>
      <c r="C61" s="12"/>
      <c r="D61" s="12"/>
      <c r="E61" s="12"/>
      <c r="F61" s="13"/>
      <c r="G61" s="20"/>
      <c r="H61" s="375">
        <v>10</v>
      </c>
      <c r="I61" s="351"/>
      <c r="J61" s="376"/>
      <c r="K61" s="73">
        <f>IF(G32="","",BP165)</f>
        <v>362124.78034616221</v>
      </c>
      <c r="L61" s="74"/>
      <c r="M61" s="74"/>
      <c r="N61" s="75">
        <f>IF(G32="","",BP166)</f>
        <v>2.4873783269438024E-2</v>
      </c>
      <c r="O61" s="76"/>
      <c r="P61" s="76"/>
      <c r="Q61" s="75">
        <f>IF(G32="","",CONVERT(BP168,"m","ft"))</f>
        <v>1.0075277943847867</v>
      </c>
      <c r="R61" s="76"/>
      <c r="S61" s="76"/>
      <c r="T61" s="77">
        <f>IF(G32="","",CONVERT(BP169,"m","ft"))</f>
        <v>33.574566181523302</v>
      </c>
      <c r="U61" s="78"/>
      <c r="V61" s="78"/>
      <c r="W61" s="77">
        <f>IF(G32="","",CONVERT(BP170,"m","ft"))</f>
        <v>33.16951006944295</v>
      </c>
      <c r="X61" s="78"/>
      <c r="Y61" s="78"/>
      <c r="Z61" s="77">
        <f t="shared" si="16"/>
        <v>41</v>
      </c>
      <c r="AA61" s="78"/>
      <c r="AB61" s="79"/>
      <c r="AC61" s="12"/>
      <c r="AD61" s="12"/>
      <c r="AE61" s="16"/>
      <c r="AF61" s="314" t="str">
        <f>IF(AR32="","",IF(AX60&lt;BA60-AL11,"Acceptable","HGL Too High"))</f>
        <v>Acceptable</v>
      </c>
      <c r="AG61" s="332"/>
      <c r="AH61" s="332"/>
      <c r="AI61" s="332"/>
      <c r="AJ61" s="333"/>
      <c r="AK61" s="68"/>
      <c r="AL61" s="68"/>
      <c r="AM61" s="68"/>
      <c r="AN61" s="68"/>
      <c r="AO61" s="68"/>
      <c r="AP61" s="68"/>
      <c r="AQ61" s="68"/>
      <c r="AR61" s="68"/>
      <c r="AS61" s="68"/>
      <c r="AT61" s="68"/>
      <c r="AU61" s="68"/>
      <c r="AV61" s="68"/>
      <c r="AW61" s="68"/>
      <c r="AX61" s="68"/>
      <c r="AY61" s="68"/>
      <c r="AZ61" s="68"/>
      <c r="BA61" s="68"/>
      <c r="BG61" s="58">
        <f t="shared" si="17"/>
        <v>273.99999999999994</v>
      </c>
      <c r="BH61" s="58">
        <f t="shared" si="17"/>
        <v>15.742000000000001</v>
      </c>
      <c r="BI61" s="58">
        <f t="shared" si="17"/>
        <v>17.242000000000001</v>
      </c>
      <c r="BJ61" s="58">
        <f t="shared" si="17"/>
        <v>15.086524375735603</v>
      </c>
      <c r="BK61" s="58">
        <f t="shared" si="17"/>
        <v>15.586593649908878</v>
      </c>
      <c r="BN61" s="58" t="s">
        <v>113</v>
      </c>
      <c r="BO61" s="58" t="s">
        <v>115</v>
      </c>
      <c r="BP61" s="63">
        <f>$AF$25</f>
        <v>1</v>
      </c>
      <c r="BU61" s="58" t="s">
        <v>73</v>
      </c>
      <c r="BV61" s="58" t="s">
        <v>85</v>
      </c>
      <c r="BW61" s="61">
        <f>$O$28</f>
        <v>1</v>
      </c>
      <c r="BX61" s="59" t="s">
        <v>80</v>
      </c>
    </row>
    <row r="62" spans="2:76">
      <c r="B62" s="11"/>
      <c r="C62" s="12"/>
      <c r="D62" s="12"/>
      <c r="E62" s="12"/>
      <c r="F62" s="13"/>
      <c r="G62" s="20"/>
      <c r="H62" s="4"/>
      <c r="I62" s="4"/>
      <c r="J62" s="4"/>
      <c r="K62" s="4"/>
      <c r="L62" s="4"/>
      <c r="M62" s="4"/>
      <c r="N62" s="4"/>
      <c r="O62" s="4"/>
      <c r="P62" s="4"/>
      <c r="Q62" s="4"/>
      <c r="R62" s="4"/>
      <c r="S62" s="4"/>
      <c r="T62" s="4"/>
      <c r="U62" s="4"/>
      <c r="V62" s="4"/>
      <c r="W62" s="4"/>
      <c r="X62" s="4"/>
      <c r="Y62" s="4"/>
      <c r="Z62" s="4"/>
      <c r="AA62" s="4"/>
      <c r="AB62" s="4"/>
      <c r="AC62" s="12"/>
      <c r="AD62" s="12"/>
      <c r="AE62" s="16"/>
      <c r="AF62" s="17"/>
      <c r="AG62" s="12"/>
      <c r="AH62" s="12"/>
      <c r="AI62" s="12"/>
      <c r="AJ62" s="18"/>
      <c r="AK62" s="66"/>
      <c r="AL62" s="66"/>
      <c r="AM62" s="66"/>
      <c r="AN62" s="66"/>
      <c r="AO62" s="66"/>
      <c r="AP62" s="66"/>
      <c r="AQ62" s="66"/>
      <c r="AR62" s="66"/>
      <c r="AS62" s="66"/>
      <c r="AT62" s="66"/>
      <c r="AU62" s="66"/>
      <c r="AV62" s="66"/>
      <c r="AW62" s="66"/>
      <c r="AX62" s="66"/>
      <c r="AY62" s="66"/>
      <c r="AZ62" s="66"/>
      <c r="BA62" s="66"/>
      <c r="BG62" s="58">
        <f t="shared" si="17"/>
        <v>395.99999999999994</v>
      </c>
      <c r="BH62" s="58">
        <f t="shared" si="17"/>
        <v>16.352</v>
      </c>
      <c r="BI62" s="58">
        <f t="shared" si="17"/>
        <v>17.602</v>
      </c>
      <c r="BJ62" s="58">
        <f t="shared" si="17"/>
        <v>15.99453407075981</v>
      </c>
      <c r="BK62" s="58">
        <f t="shared" si="17"/>
        <v>17.031477717685512</v>
      </c>
      <c r="BN62" s="58" t="s">
        <v>114</v>
      </c>
      <c r="BO62" s="58" t="s">
        <v>116</v>
      </c>
      <c r="BP62" s="58">
        <f>BP61*($BW$33^2/(2*9.81))</f>
        <v>0.15242111476801387</v>
      </c>
      <c r="BU62" s="58" t="s">
        <v>74</v>
      </c>
      <c r="BV62" s="58" t="s">
        <v>86</v>
      </c>
      <c r="BW62" s="60">
        <f>$AN$28</f>
        <v>0.20819764812</v>
      </c>
      <c r="BX62" s="59" t="s">
        <v>79</v>
      </c>
    </row>
    <row r="63" spans="2:76" ht="15" thickBot="1">
      <c r="B63" s="25"/>
      <c r="C63" s="26"/>
      <c r="D63" s="26"/>
      <c r="E63" s="26"/>
      <c r="F63" s="27"/>
      <c r="G63" s="28"/>
      <c r="H63" s="26"/>
      <c r="I63" s="26"/>
      <c r="J63" s="26"/>
      <c r="K63" s="26"/>
      <c r="L63" s="26"/>
      <c r="M63" s="26"/>
      <c r="N63" s="26"/>
      <c r="O63" s="26"/>
      <c r="P63" s="26"/>
      <c r="Q63" s="26"/>
      <c r="R63" s="26"/>
      <c r="S63" s="26"/>
      <c r="T63" s="26"/>
      <c r="U63" s="26"/>
      <c r="V63" s="26"/>
      <c r="W63" s="26"/>
      <c r="X63" s="26"/>
      <c r="Y63" s="26"/>
      <c r="Z63" s="26"/>
      <c r="AA63" s="26"/>
      <c r="AB63" s="26"/>
      <c r="AC63" s="26"/>
      <c r="AD63" s="26"/>
      <c r="AE63" s="2"/>
      <c r="AF63" s="29"/>
      <c r="AG63" s="26"/>
      <c r="AH63" s="26"/>
      <c r="AI63" s="26"/>
      <c r="AJ63" s="30"/>
      <c r="AK63" s="66"/>
      <c r="AL63" s="66"/>
      <c r="AM63" s="66"/>
      <c r="AN63" s="66"/>
      <c r="AO63" s="66"/>
      <c r="AP63" s="66"/>
      <c r="AQ63" s="66"/>
      <c r="AR63" s="66"/>
      <c r="AS63" s="66"/>
      <c r="AT63" s="66"/>
      <c r="AU63" s="66"/>
      <c r="AV63" s="66"/>
      <c r="AW63" s="66"/>
      <c r="AX63" s="66"/>
      <c r="AY63" s="66"/>
      <c r="AZ63" s="66"/>
      <c r="BA63" s="66"/>
      <c r="BG63" s="58">
        <f t="shared" si="17"/>
        <v>395.99999999999994</v>
      </c>
      <c r="BH63" s="58">
        <f t="shared" si="17"/>
        <v>16.852</v>
      </c>
      <c r="BI63" s="58">
        <f t="shared" si="17"/>
        <v>18.102</v>
      </c>
      <c r="BJ63" s="58">
        <f t="shared" si="17"/>
        <v>16.494603344933083</v>
      </c>
      <c r="BK63" s="58">
        <f t="shared" si="17"/>
        <v>17.531546991858786</v>
      </c>
      <c r="BN63" s="58" t="s">
        <v>117</v>
      </c>
      <c r="BO63" s="58" t="s">
        <v>118</v>
      </c>
      <c r="BP63" s="58">
        <f>BP58+BP62</f>
        <v>5.0275550995356042</v>
      </c>
      <c r="BQ63" s="58" t="s">
        <v>29</v>
      </c>
      <c r="BU63" s="58" t="s">
        <v>75</v>
      </c>
      <c r="BV63" s="58" t="s">
        <v>87</v>
      </c>
      <c r="BW63" s="58">
        <f>BW62/BW59</f>
        <v>1.8261480611682226</v>
      </c>
      <c r="BX63" s="59" t="s">
        <v>81</v>
      </c>
    </row>
    <row r="64" spans="2:76">
      <c r="BG64" s="58">
        <f t="shared" si="17"/>
        <v>495.99999999999994</v>
      </c>
      <c r="BH64" s="58">
        <f t="shared" si="17"/>
        <v>17.852</v>
      </c>
      <c r="BI64" s="58">
        <f t="shared" si="17"/>
        <v>19.102000000000004</v>
      </c>
      <c r="BJ64" s="58">
        <f t="shared" si="17"/>
        <v>18.437443511495236</v>
      </c>
      <c r="BK64" s="58">
        <f t="shared" si="17"/>
        <v>19.101087445527686</v>
      </c>
      <c r="BN64" s="58" t="s">
        <v>120</v>
      </c>
      <c r="BO64" s="58" t="s">
        <v>121</v>
      </c>
      <c r="BP64" s="58">
        <f>BP63+(IF($AR$26="",$BW$33,$BW$43)^2/(2*9.81))</f>
        <v>5.343615523118558</v>
      </c>
      <c r="BQ64" s="58" t="s">
        <v>29</v>
      </c>
      <c r="BU64" s="58" t="s">
        <v>76</v>
      </c>
      <c r="BV64" s="58" t="s">
        <v>88</v>
      </c>
      <c r="BW64" s="63">
        <f>BW55+$AW$27</f>
        <v>6.6604896</v>
      </c>
      <c r="BX64" s="59" t="s">
        <v>29</v>
      </c>
    </row>
    <row r="65" spans="59:76">
      <c r="BG65" s="58">
        <f t="shared" si="17"/>
        <v>495.99999999999994</v>
      </c>
      <c r="BH65" s="58">
        <f t="shared" si="17"/>
        <v>18.352</v>
      </c>
      <c r="BI65" s="58">
        <f t="shared" si="17"/>
        <v>19.602000000000004</v>
      </c>
      <c r="BJ65" s="58">
        <f t="shared" si="17"/>
        <v>20.511330805346638</v>
      </c>
      <c r="BK65" s="58">
        <f t="shared" si="17"/>
        <v>21.174974739379085</v>
      </c>
      <c r="BU65" s="58" t="s">
        <v>77</v>
      </c>
      <c r="BV65" s="58" t="s">
        <v>89</v>
      </c>
      <c r="BW65" s="58">
        <f>BW64+BW60*BW61%</f>
        <v>7.0262495999999999</v>
      </c>
      <c r="BX65" s="59" t="s">
        <v>29</v>
      </c>
    </row>
    <row r="66" spans="59:76">
      <c r="BG66" s="58">
        <f t="shared" ref="BG66:BK75" si="18">CONVERT(BG43,"m","ft")</f>
        <v>595.99999999999989</v>
      </c>
      <c r="BH66" s="58">
        <f t="shared" si="18"/>
        <v>21.352</v>
      </c>
      <c r="BI66" s="58">
        <f t="shared" si="18"/>
        <v>22.602</v>
      </c>
      <c r="BJ66" s="58">
        <f t="shared" si="18"/>
        <v>21.754745900065348</v>
      </c>
      <c r="BK66" s="58">
        <f t="shared" si="18"/>
        <v>22.312391150189832</v>
      </c>
      <c r="BN66" s="58" t="s">
        <v>146</v>
      </c>
    </row>
    <row r="67" spans="59:76" ht="15" customHeight="1">
      <c r="BG67" s="58">
        <f t="shared" si="18"/>
        <v>595.99999999999989</v>
      </c>
      <c r="BH67" s="58">
        <f t="shared" si="18"/>
        <v>21.852</v>
      </c>
      <c r="BI67" s="58">
        <f t="shared" si="18"/>
        <v>23.102</v>
      </c>
      <c r="BJ67" s="58">
        <f t="shared" si="18"/>
        <v>22.418389834097795</v>
      </c>
      <c r="BK67" s="58">
        <f t="shared" si="18"/>
        <v>22.976035084222282</v>
      </c>
      <c r="BN67" s="58" t="s">
        <v>123</v>
      </c>
      <c r="BO67" s="58" t="s">
        <v>124</v>
      </c>
      <c r="BP67" s="60">
        <f>$AP$26*10^-3</f>
        <v>7.6199999999999998E-4</v>
      </c>
      <c r="BQ67" s="58" t="s">
        <v>64</v>
      </c>
      <c r="BU67" s="58" t="s">
        <v>96</v>
      </c>
    </row>
    <row r="68" spans="59:76">
      <c r="BG68" s="58">
        <f t="shared" si="18"/>
        <v>715.99999999999989</v>
      </c>
      <c r="BH68" s="58">
        <f t="shared" si="18"/>
        <v>23.052</v>
      </c>
      <c r="BI68" s="58">
        <f t="shared" si="18"/>
        <v>24.302</v>
      </c>
      <c r="BJ68" s="58">
        <f t="shared" si="18"/>
        <v>23.67216554398065</v>
      </c>
      <c r="BK68" s="58">
        <f t="shared" si="18"/>
        <v>24.133029387058738</v>
      </c>
      <c r="BN68" s="58" t="s">
        <v>125</v>
      </c>
      <c r="BO68" s="58" t="s">
        <v>126</v>
      </c>
      <c r="BP68" s="58">
        <f>1.31*10^-6</f>
        <v>1.31E-6</v>
      </c>
      <c r="BQ68" s="58" t="s">
        <v>139</v>
      </c>
      <c r="BU68" s="58" t="s">
        <v>70</v>
      </c>
      <c r="BV68" s="58" t="s">
        <v>82</v>
      </c>
      <c r="BW68" s="60">
        <f>$AR$29</f>
        <v>0.38100000000000001</v>
      </c>
      <c r="BX68" s="59" t="s">
        <v>29</v>
      </c>
    </row>
    <row r="69" spans="59:76">
      <c r="BG69" s="58">
        <f t="shared" si="18"/>
        <v>715.99999999999989</v>
      </c>
      <c r="BH69" s="58">
        <f t="shared" si="18"/>
        <v>23.552</v>
      </c>
      <c r="BI69" s="58">
        <f t="shared" si="18"/>
        <v>24.802</v>
      </c>
      <c r="BJ69" s="58">
        <f t="shared" si="18"/>
        <v>24.229810794105134</v>
      </c>
      <c r="BK69" s="58">
        <f t="shared" si="18"/>
        <v>24.690674637183228</v>
      </c>
      <c r="BN69" s="58" t="s">
        <v>127</v>
      </c>
      <c r="BO69" s="58" t="s">
        <v>128</v>
      </c>
      <c r="BP69" s="58">
        <f>($BW$43*$BW$38/BP68)</f>
        <v>724249.5606923243</v>
      </c>
      <c r="BU69" s="58" t="s">
        <v>71</v>
      </c>
      <c r="BV69" s="58" t="s">
        <v>83</v>
      </c>
      <c r="BW69" s="58">
        <f>PI()*(BW68/2)^2</f>
        <v>0.114009182796937</v>
      </c>
      <c r="BX69" s="59" t="s">
        <v>78</v>
      </c>
    </row>
    <row r="70" spans="59:76">
      <c r="BG70" s="58">
        <f t="shared" si="18"/>
        <v>835.99999999999989</v>
      </c>
      <c r="BH70" s="58">
        <f t="shared" si="18"/>
        <v>24.751999999999999</v>
      </c>
      <c r="BI70" s="58">
        <f t="shared" si="18"/>
        <v>25.751999999999999</v>
      </c>
      <c r="BJ70" s="58">
        <f t="shared" si="18"/>
        <v>25.265987910839801</v>
      </c>
      <c r="BK70" s="58">
        <f t="shared" si="18"/>
        <v>26.391143777729667</v>
      </c>
      <c r="BN70" s="58" t="s">
        <v>129</v>
      </c>
      <c r="BO70" s="58" t="s">
        <v>130</v>
      </c>
      <c r="BP70" s="58">
        <f>(1/(-2*LOG10((BP67/(3.7*$BW$38)))+(5.1286/BP69^0.89)))^2</f>
        <v>2.3420271828684083E-2</v>
      </c>
      <c r="BQ70" s="62"/>
      <c r="BU70" s="58" t="s">
        <v>72</v>
      </c>
      <c r="BV70" s="58" t="s">
        <v>84</v>
      </c>
      <c r="BW70" s="61">
        <f>$AL$29</f>
        <v>36.576000000000001</v>
      </c>
      <c r="BX70" s="59" t="s">
        <v>29</v>
      </c>
    </row>
    <row r="71" spans="59:76">
      <c r="BG71" s="58">
        <f t="shared" si="18"/>
        <v>835.99999999999989</v>
      </c>
      <c r="BH71" s="58">
        <f t="shared" si="18"/>
        <v>25.251999999999999</v>
      </c>
      <c r="BI71" s="58">
        <f t="shared" si="18"/>
        <v>26.251999999999999</v>
      </c>
      <c r="BJ71" s="58">
        <f t="shared" si="18"/>
        <v>25.726851753917888</v>
      </c>
      <c r="BK71" s="58">
        <f t="shared" si="18"/>
        <v>26.852007620807758</v>
      </c>
      <c r="BN71" s="58" t="s">
        <v>131</v>
      </c>
      <c r="BO71" s="58" t="s">
        <v>132</v>
      </c>
      <c r="BP71" s="58">
        <f>BP70*$BW$43^2/(2*9.81*$BW$38)</f>
        <v>1.9428401665621528E-2</v>
      </c>
      <c r="BQ71" s="58" t="s">
        <v>29</v>
      </c>
      <c r="BU71" s="58" t="s">
        <v>73</v>
      </c>
      <c r="BV71" s="58" t="s">
        <v>85</v>
      </c>
      <c r="BW71" s="61">
        <f>$O$29</f>
        <v>1</v>
      </c>
      <c r="BX71" s="59" t="s">
        <v>80</v>
      </c>
    </row>
    <row r="72" spans="59:76">
      <c r="BG72" s="58">
        <f t="shared" si="18"/>
        <v>935.99999999999989</v>
      </c>
      <c r="BH72" s="58">
        <f t="shared" si="18"/>
        <v>26.251999999999999</v>
      </c>
      <c r="BI72" s="58">
        <f t="shared" si="18"/>
        <v>27.251999999999999</v>
      </c>
      <c r="BJ72" s="58">
        <f t="shared" si="18"/>
        <v>28.525558741743492</v>
      </c>
      <c r="BK72" s="58">
        <f t="shared" si="18"/>
        <v>29.245658496553006</v>
      </c>
      <c r="BN72" s="58" t="s">
        <v>133</v>
      </c>
      <c r="BO72" s="58" t="s">
        <v>134</v>
      </c>
      <c r="BP72" s="58">
        <f>BP71*$BW$40</f>
        <v>0.5921776827681442</v>
      </c>
      <c r="BQ72" s="58" t="s">
        <v>29</v>
      </c>
      <c r="BU72" s="58" t="s">
        <v>74</v>
      </c>
      <c r="BV72" s="58" t="s">
        <v>86</v>
      </c>
      <c r="BW72" s="60">
        <f>$AN$29</f>
        <v>0.18927058919999998</v>
      </c>
      <c r="BX72" s="59" t="s">
        <v>79</v>
      </c>
    </row>
    <row r="73" spans="59:76">
      <c r="BG73" s="58">
        <f t="shared" si="18"/>
        <v>935.99999999999989</v>
      </c>
      <c r="BH73" s="58">
        <f t="shared" si="18"/>
        <v>26.751999999999999</v>
      </c>
      <c r="BI73" s="58">
        <f t="shared" si="18"/>
        <v>27.751999999999999</v>
      </c>
      <c r="BJ73" s="58">
        <f t="shared" si="18"/>
        <v>29.650714608633358</v>
      </c>
      <c r="BK73" s="58">
        <f t="shared" si="18"/>
        <v>30.370814363442868</v>
      </c>
      <c r="BN73" s="58" t="s">
        <v>135</v>
      </c>
      <c r="BO73" s="58" t="s">
        <v>136</v>
      </c>
      <c r="BP73" s="58">
        <f>BP64+BP72</f>
        <v>5.9357932058867018</v>
      </c>
      <c r="BQ73" s="58" t="s">
        <v>29</v>
      </c>
      <c r="BU73" s="58" t="s">
        <v>75</v>
      </c>
      <c r="BV73" s="58" t="s">
        <v>87</v>
      </c>
      <c r="BW73" s="58">
        <f>BW72/BW69</f>
        <v>1.6601346010620204</v>
      </c>
      <c r="BX73" s="59" t="s">
        <v>81</v>
      </c>
    </row>
    <row r="74" spans="59:76">
      <c r="BG74" s="58">
        <f t="shared" si="18"/>
        <v>1035.9999999999998</v>
      </c>
      <c r="BH74" s="58">
        <f t="shared" si="18"/>
        <v>27.751999999999999</v>
      </c>
      <c r="BI74" s="58">
        <f t="shared" si="18"/>
        <v>28.751999999999999</v>
      </c>
      <c r="BJ74" s="58">
        <f t="shared" si="18"/>
        <v>31.441882520248647</v>
      </c>
      <c r="BK74" s="58">
        <f t="shared" si="18"/>
        <v>31.846938632329</v>
      </c>
      <c r="BN74" s="58" t="s">
        <v>137</v>
      </c>
      <c r="BO74" s="58" t="s">
        <v>138</v>
      </c>
      <c r="BP74" s="58">
        <f>BP73-$BW$43^2/(2*9.81)</f>
        <v>5.619732782303748</v>
      </c>
      <c r="BQ74" s="58" t="s">
        <v>29</v>
      </c>
      <c r="BU74" s="58" t="s">
        <v>76</v>
      </c>
      <c r="BV74" s="58" t="s">
        <v>88</v>
      </c>
      <c r="BW74" s="63">
        <f>BW65+$AW$28</f>
        <v>7.1786496</v>
      </c>
      <c r="BX74" s="59" t="s">
        <v>29</v>
      </c>
    </row>
    <row r="75" spans="59:76">
      <c r="BG75" s="58">
        <f t="shared" si="18"/>
        <v>1035.9999999999998</v>
      </c>
      <c r="BH75" s="58">
        <f t="shared" si="18"/>
        <v>28.251999999999999</v>
      </c>
      <c r="BI75" s="58">
        <f t="shared" si="18"/>
        <v>29.251999999999999</v>
      </c>
      <c r="BJ75" s="58">
        <f t="shared" si="18"/>
        <v>32.161982275058158</v>
      </c>
      <c r="BK75" s="58">
        <f t="shared" si="18"/>
        <v>32.56703838713851</v>
      </c>
      <c r="BU75" s="58" t="s">
        <v>77</v>
      </c>
      <c r="BV75" s="58" t="s">
        <v>89</v>
      </c>
      <c r="BW75" s="58">
        <f>BW74+BW70*BW71%</f>
        <v>7.5444095999999998</v>
      </c>
      <c r="BX75" s="59" t="s">
        <v>29</v>
      </c>
    </row>
    <row r="76" spans="59:76">
      <c r="BG76" s="58">
        <f t="shared" ref="BG76:BK77" si="19">CONVERT(BG53,"m","ft")</f>
        <v>1136</v>
      </c>
      <c r="BH76" s="58">
        <f t="shared" si="19"/>
        <v>29.251999999999999</v>
      </c>
      <c r="BI76" s="58">
        <f t="shared" si="19"/>
        <v>30.252000000000006</v>
      </c>
      <c r="BJ76" s="58">
        <f t="shared" si="19"/>
        <v>33.16951006944295</v>
      </c>
      <c r="BK76" s="58">
        <f t="shared" si="19"/>
        <v>33.574566181523302</v>
      </c>
      <c r="BN76" s="58" t="s">
        <v>147</v>
      </c>
      <c r="BX76" s="58"/>
    </row>
    <row r="77" spans="59:76">
      <c r="BG77" s="58">
        <f t="shared" si="19"/>
        <v>1136</v>
      </c>
      <c r="BH77" s="58">
        <f t="shared" si="19"/>
        <v>29.751999999999999</v>
      </c>
      <c r="BI77" s="58">
        <f t="shared" si="19"/>
        <v>30.752000000000006</v>
      </c>
      <c r="BJ77" s="58">
        <f t="shared" si="19"/>
        <v>33.574566181523302</v>
      </c>
      <c r="BK77" s="58">
        <f t="shared" si="19"/>
        <v>33.979622293603654</v>
      </c>
      <c r="BN77" s="58" t="s">
        <v>113</v>
      </c>
      <c r="BO77" s="58" t="s">
        <v>115</v>
      </c>
      <c r="BP77" s="63">
        <f>$AF$26</f>
        <v>2</v>
      </c>
      <c r="BU77" s="58" t="s">
        <v>95</v>
      </c>
    </row>
    <row r="78" spans="59:76">
      <c r="BN78" s="58" t="s">
        <v>114</v>
      </c>
      <c r="BO78" s="58" t="s">
        <v>116</v>
      </c>
      <c r="BP78" s="58">
        <f>BP77*($BW$43^2/(2*9.81))</f>
        <v>0.63212084716590689</v>
      </c>
      <c r="BU78" s="58" t="s">
        <v>70</v>
      </c>
      <c r="BV78" s="58" t="s">
        <v>82</v>
      </c>
      <c r="BW78" s="60">
        <f>$AR$30</f>
        <v>0.30480000000000002</v>
      </c>
      <c r="BX78" s="59" t="s">
        <v>29</v>
      </c>
    </row>
    <row r="79" spans="59:76">
      <c r="BN79" s="58" t="s">
        <v>117</v>
      </c>
      <c r="BO79" s="58" t="s">
        <v>118</v>
      </c>
      <c r="BP79" s="58">
        <f>BP74+BP78</f>
        <v>6.2518536294696547</v>
      </c>
      <c r="BQ79" s="58" t="s">
        <v>29</v>
      </c>
      <c r="BU79" s="58" t="s">
        <v>71</v>
      </c>
      <c r="BV79" s="58" t="s">
        <v>83</v>
      </c>
      <c r="BW79" s="58">
        <f>PI()*(BW78/2)^2</f>
        <v>7.2965876990039674E-2</v>
      </c>
      <c r="BX79" s="59" t="s">
        <v>78</v>
      </c>
    </row>
    <row r="80" spans="59:76">
      <c r="BN80" s="58" t="s">
        <v>120</v>
      </c>
      <c r="BO80" s="58" t="s">
        <v>121</v>
      </c>
      <c r="BP80" s="58">
        <f>BP79+(IF($AR$27="",$BW$43,$BW$53)^2/(2*9.81))</f>
        <v>6.4541323005627449</v>
      </c>
      <c r="BQ80" s="58" t="s">
        <v>29</v>
      </c>
      <c r="BU80" s="58" t="s">
        <v>72</v>
      </c>
      <c r="BV80" s="58" t="s">
        <v>84</v>
      </c>
      <c r="BW80" s="61">
        <f>$AL$30</f>
        <v>30.48</v>
      </c>
      <c r="BX80" s="59" t="s">
        <v>29</v>
      </c>
    </row>
    <row r="81" spans="66:76">
      <c r="BU81" s="58" t="s">
        <v>73</v>
      </c>
      <c r="BV81" s="58" t="s">
        <v>85</v>
      </c>
      <c r="BW81" s="61">
        <f>$O$30</f>
        <v>1</v>
      </c>
      <c r="BX81" s="59" t="s">
        <v>80</v>
      </c>
    </row>
    <row r="82" spans="66:76">
      <c r="BN82" s="58" t="s">
        <v>148</v>
      </c>
      <c r="BU82" s="58" t="s">
        <v>74</v>
      </c>
      <c r="BV82" s="58" t="s">
        <v>86</v>
      </c>
      <c r="BW82" s="60">
        <f>$AN$30</f>
        <v>0.18927058919999998</v>
      </c>
      <c r="BX82" s="59" t="s">
        <v>79</v>
      </c>
    </row>
    <row r="83" spans="66:76">
      <c r="BN83" s="58" t="s">
        <v>123</v>
      </c>
      <c r="BO83" s="58" t="s">
        <v>124</v>
      </c>
      <c r="BP83" s="60">
        <f>$AP$27*10^-3</f>
        <v>7.6199999999999998E-4</v>
      </c>
      <c r="BQ83" s="58" t="s">
        <v>64</v>
      </c>
      <c r="BU83" s="58" t="s">
        <v>75</v>
      </c>
      <c r="BV83" s="58" t="s">
        <v>87</v>
      </c>
      <c r="BW83" s="58">
        <f>BW82/BW79</f>
        <v>2.5939603141594074</v>
      </c>
      <c r="BX83" s="59" t="s">
        <v>81</v>
      </c>
    </row>
    <row r="84" spans="66:76">
      <c r="BN84" s="58" t="s">
        <v>125</v>
      </c>
      <c r="BO84" s="58" t="s">
        <v>126</v>
      </c>
      <c r="BP84" s="58">
        <f>1.31*10^-6</f>
        <v>1.31E-6</v>
      </c>
      <c r="BQ84" s="58" t="s">
        <v>139</v>
      </c>
      <c r="BU84" s="58" t="s">
        <v>76</v>
      </c>
      <c r="BV84" s="58" t="s">
        <v>88</v>
      </c>
      <c r="BW84" s="63">
        <f>BW75+$AW$29</f>
        <v>7.6968095999999999</v>
      </c>
      <c r="BX84" s="59" t="s">
        <v>29</v>
      </c>
    </row>
    <row r="85" spans="66:76">
      <c r="BN85" s="58" t="s">
        <v>127</v>
      </c>
      <c r="BO85" s="58" t="s">
        <v>128</v>
      </c>
      <c r="BP85" s="58">
        <f>($BW$53*$BW$48/BP84)</f>
        <v>579399.64855385944</v>
      </c>
      <c r="BU85" s="58" t="s">
        <v>77</v>
      </c>
      <c r="BV85" s="58" t="s">
        <v>89</v>
      </c>
      <c r="BW85" s="58">
        <f>BW84+BW80*BW81%</f>
        <v>8.0016096000000001</v>
      </c>
      <c r="BX85" s="59" t="s">
        <v>29</v>
      </c>
    </row>
    <row r="86" spans="66:76">
      <c r="BN86" s="58" t="s">
        <v>129</v>
      </c>
      <c r="BO86" s="58" t="s">
        <v>130</v>
      </c>
      <c r="BP86" s="58">
        <f>(1/(-2*LOG10((BP83/(3.7*$BW$48)))+(5.1286/BP85^0.89)))^2</f>
        <v>2.3420222632855311E-2</v>
      </c>
      <c r="BQ86" s="62"/>
      <c r="BX86" s="58"/>
    </row>
    <row r="87" spans="66:76">
      <c r="BN87" s="58" t="s">
        <v>131</v>
      </c>
      <c r="BO87" s="58" t="s">
        <v>132</v>
      </c>
      <c r="BP87" s="58">
        <f>BP86*$BW$53^2/(2*9.81*$BW$48)</f>
        <v>1.2434150947187106E-2</v>
      </c>
      <c r="BQ87" s="58" t="s">
        <v>29</v>
      </c>
      <c r="BU87" s="58" t="s">
        <v>97</v>
      </c>
    </row>
    <row r="88" spans="66:76">
      <c r="BN88" s="58" t="s">
        <v>133</v>
      </c>
      <c r="BO88" s="58" t="s">
        <v>134</v>
      </c>
      <c r="BP88" s="58">
        <f>BP87*$BW$50</f>
        <v>0.37899292087026298</v>
      </c>
      <c r="BQ88" s="58" t="s">
        <v>29</v>
      </c>
      <c r="BU88" s="58" t="s">
        <v>70</v>
      </c>
      <c r="BV88" s="58" t="s">
        <v>82</v>
      </c>
      <c r="BW88" s="60">
        <f>$AR$31</f>
        <v>0.30480000000000002</v>
      </c>
      <c r="BX88" s="59" t="s">
        <v>29</v>
      </c>
    </row>
    <row r="89" spans="66:76">
      <c r="BN89" s="58" t="s">
        <v>135</v>
      </c>
      <c r="BO89" s="58" t="s">
        <v>136</v>
      </c>
      <c r="BP89" s="58">
        <f>BP80+BP88</f>
        <v>6.8331252214330078</v>
      </c>
      <c r="BQ89" s="58" t="s">
        <v>29</v>
      </c>
      <c r="BU89" s="58" t="s">
        <v>71</v>
      </c>
      <c r="BV89" s="58" t="s">
        <v>83</v>
      </c>
      <c r="BW89" s="58">
        <f>PI()*(BW88/2)^2</f>
        <v>7.2965876990039674E-2</v>
      </c>
      <c r="BX89" s="59" t="s">
        <v>78</v>
      </c>
    </row>
    <row r="90" spans="66:76">
      <c r="BN90" s="58" t="s">
        <v>137</v>
      </c>
      <c r="BO90" s="58" t="s">
        <v>138</v>
      </c>
      <c r="BP90" s="58">
        <f>BP89-$BW$53^2/(2*9.81)</f>
        <v>6.6308465503399177</v>
      </c>
      <c r="BQ90" s="58" t="s">
        <v>29</v>
      </c>
      <c r="BU90" s="58" t="s">
        <v>72</v>
      </c>
      <c r="BV90" s="58" t="s">
        <v>84</v>
      </c>
      <c r="BW90" s="61">
        <f>$AL$31</f>
        <v>30.48</v>
      </c>
      <c r="BX90" s="59" t="s">
        <v>29</v>
      </c>
    </row>
    <row r="91" spans="66:76">
      <c r="BU91" s="58" t="s">
        <v>73</v>
      </c>
      <c r="BV91" s="58" t="s">
        <v>85</v>
      </c>
      <c r="BW91" s="61">
        <f>$O$31</f>
        <v>1</v>
      </c>
      <c r="BX91" s="59" t="s">
        <v>80</v>
      </c>
    </row>
    <row r="92" spans="66:76">
      <c r="BN92" s="58" t="s">
        <v>149</v>
      </c>
      <c r="BU92" s="58" t="s">
        <v>74</v>
      </c>
      <c r="BV92" s="58" t="s">
        <v>86</v>
      </c>
      <c r="BW92" s="60">
        <f>$AN$31</f>
        <v>0.15141647136</v>
      </c>
      <c r="BX92" s="59" t="s">
        <v>79</v>
      </c>
    </row>
    <row r="93" spans="66:76">
      <c r="BN93" s="58" t="s">
        <v>113</v>
      </c>
      <c r="BO93" s="58" t="s">
        <v>115</v>
      </c>
      <c r="BP93" s="63">
        <f>$AF$27</f>
        <v>1</v>
      </c>
      <c r="BU93" s="58" t="s">
        <v>75</v>
      </c>
      <c r="BV93" s="58" t="s">
        <v>87</v>
      </c>
      <c r="BW93" s="58">
        <f>BW92/BW89</f>
        <v>2.075168251327526</v>
      </c>
      <c r="BX93" s="59" t="s">
        <v>81</v>
      </c>
    </row>
    <row r="94" spans="66:76">
      <c r="BN94" s="58" t="s">
        <v>114</v>
      </c>
      <c r="BO94" s="58" t="s">
        <v>116</v>
      </c>
      <c r="BP94" s="58">
        <f>BP93*($BW$53^2/(2*9.81))</f>
        <v>0.20227867109309025</v>
      </c>
      <c r="BU94" s="58" t="s">
        <v>76</v>
      </c>
      <c r="BV94" s="58" t="s">
        <v>88</v>
      </c>
      <c r="BW94" s="63">
        <f>BW85+$AW$30</f>
        <v>8.1540096000000002</v>
      </c>
      <c r="BX94" s="59" t="s">
        <v>29</v>
      </c>
    </row>
    <row r="95" spans="66:76">
      <c r="BN95" s="58" t="s">
        <v>117</v>
      </c>
      <c r="BO95" s="58" t="s">
        <v>118</v>
      </c>
      <c r="BP95" s="58">
        <f>BP90+BP94</f>
        <v>6.8331252214330078</v>
      </c>
      <c r="BQ95" s="58" t="s">
        <v>29</v>
      </c>
      <c r="BU95" s="58" t="s">
        <v>77</v>
      </c>
      <c r="BV95" s="58" t="s">
        <v>89</v>
      </c>
      <c r="BW95" s="58">
        <f>BW94+BW90*BW91%</f>
        <v>8.4588096000000004</v>
      </c>
      <c r="BX95" s="59" t="s">
        <v>29</v>
      </c>
    </row>
    <row r="96" spans="66:76">
      <c r="BN96" s="58" t="s">
        <v>120</v>
      </c>
      <c r="BO96" s="58" t="s">
        <v>121</v>
      </c>
      <c r="BP96" s="58">
        <f>BP95+(IF($AR$28="",$BW$53,$BW$63)^2/(2*9.81))</f>
        <v>7.0030954936709513</v>
      </c>
      <c r="BQ96" s="58" t="s">
        <v>29</v>
      </c>
      <c r="BX96" s="58"/>
    </row>
    <row r="97" spans="66:76">
      <c r="BU97" s="58" t="s">
        <v>98</v>
      </c>
    </row>
    <row r="98" spans="66:76">
      <c r="BN98" s="58" t="s">
        <v>150</v>
      </c>
      <c r="BU98" s="58" t="s">
        <v>70</v>
      </c>
      <c r="BV98" s="58" t="s">
        <v>82</v>
      </c>
      <c r="BW98" s="60">
        <f>$AR$32</f>
        <v>0.30480000000000002</v>
      </c>
      <c r="BX98" s="59" t="s">
        <v>29</v>
      </c>
    </row>
    <row r="99" spans="66:76">
      <c r="BN99" s="58" t="s">
        <v>123</v>
      </c>
      <c r="BO99" s="58" t="s">
        <v>124</v>
      </c>
      <c r="BP99" s="60">
        <f>$AP$28*10^-3</f>
        <v>7.6199999999999998E-4</v>
      </c>
      <c r="BQ99" s="58" t="s">
        <v>64</v>
      </c>
      <c r="BU99" s="58" t="s">
        <v>71</v>
      </c>
      <c r="BV99" s="58" t="s">
        <v>83</v>
      </c>
      <c r="BW99" s="58">
        <f>PI()*(BW98/2)^2</f>
        <v>7.2965876990039674E-2</v>
      </c>
      <c r="BX99" s="59" t="s">
        <v>78</v>
      </c>
    </row>
    <row r="100" spans="66:76">
      <c r="BN100" s="58" t="s">
        <v>125</v>
      </c>
      <c r="BO100" s="58" t="s">
        <v>126</v>
      </c>
      <c r="BP100" s="58">
        <f>1.31*10^-6</f>
        <v>1.31E-6</v>
      </c>
      <c r="BQ100" s="58" t="s">
        <v>139</v>
      </c>
      <c r="BU100" s="58" t="s">
        <v>72</v>
      </c>
      <c r="BV100" s="58" t="s">
        <v>84</v>
      </c>
      <c r="BW100" s="61">
        <f>$AL$32</f>
        <v>30.48</v>
      </c>
      <c r="BX100" s="59" t="s">
        <v>29</v>
      </c>
    </row>
    <row r="101" spans="66:76">
      <c r="BN101" s="58" t="s">
        <v>127</v>
      </c>
      <c r="BO101" s="58" t="s">
        <v>128</v>
      </c>
      <c r="BP101" s="58">
        <f>($BW$63*$BW$58/BP100)</f>
        <v>531116.34450770449</v>
      </c>
      <c r="BU101" s="58" t="s">
        <v>73</v>
      </c>
      <c r="BV101" s="58" t="s">
        <v>85</v>
      </c>
      <c r="BW101" s="61">
        <f>$O$32</f>
        <v>1</v>
      </c>
      <c r="BX101" s="59" t="s">
        <v>80</v>
      </c>
    </row>
    <row r="102" spans="66:76">
      <c r="BN102" s="58" t="s">
        <v>129</v>
      </c>
      <c r="BO102" s="58" t="s">
        <v>130</v>
      </c>
      <c r="BP102" s="58">
        <f>(1/(-2*LOG10((BP99/(3.7*$BW$58)))+(5.1286/BP101^0.89)))^2</f>
        <v>2.3420200641353153E-2</v>
      </c>
      <c r="BQ102" s="62"/>
      <c r="BU102" s="58" t="s">
        <v>74</v>
      </c>
      <c r="BV102" s="58" t="s">
        <v>86</v>
      </c>
      <c r="BW102" s="60">
        <f>$AN$32</f>
        <v>0.11356235352000001</v>
      </c>
      <c r="BX102" s="59" t="s">
        <v>79</v>
      </c>
    </row>
    <row r="103" spans="66:76">
      <c r="BN103" s="58" t="s">
        <v>131</v>
      </c>
      <c r="BO103" s="58" t="s">
        <v>132</v>
      </c>
      <c r="BP103" s="58">
        <f>BP102*$BW$63^2/(2*9.81*$BW$58)</f>
        <v>1.0448130915690454E-2</v>
      </c>
      <c r="BQ103" s="58" t="s">
        <v>29</v>
      </c>
      <c r="BU103" s="58" t="s">
        <v>75</v>
      </c>
      <c r="BV103" s="58" t="s">
        <v>87</v>
      </c>
      <c r="BW103" s="58">
        <f>BW102/BW99</f>
        <v>1.5563761884956446</v>
      </c>
      <c r="BX103" s="59" t="s">
        <v>81</v>
      </c>
    </row>
    <row r="104" spans="66:76">
      <c r="BN104" s="58" t="s">
        <v>133</v>
      </c>
      <c r="BO104" s="58" t="s">
        <v>134</v>
      </c>
      <c r="BP104" s="58">
        <f>BP103*$BW$60</f>
        <v>0.38215083637229402</v>
      </c>
      <c r="BQ104" s="58" t="s">
        <v>29</v>
      </c>
      <c r="BU104" s="58" t="s">
        <v>76</v>
      </c>
      <c r="BV104" s="58" t="s">
        <v>88</v>
      </c>
      <c r="BW104" s="63">
        <f>BW95+$AW$31</f>
        <v>8.6112096000000005</v>
      </c>
      <c r="BX104" s="59" t="s">
        <v>29</v>
      </c>
    </row>
    <row r="105" spans="66:76">
      <c r="BN105" s="58" t="s">
        <v>135</v>
      </c>
      <c r="BO105" s="58" t="s">
        <v>136</v>
      </c>
      <c r="BP105" s="58">
        <f>BP96+BP104</f>
        <v>7.3852463300432456</v>
      </c>
      <c r="BQ105" s="58" t="s">
        <v>29</v>
      </c>
      <c r="BU105" s="58" t="s">
        <v>77</v>
      </c>
      <c r="BV105" s="58" t="s">
        <v>89</v>
      </c>
      <c r="BW105" s="58">
        <f>BW104+BW100*BW101%</f>
        <v>8.9160096000000006</v>
      </c>
      <c r="BX105" s="59" t="s">
        <v>29</v>
      </c>
    </row>
    <row r="106" spans="66:76">
      <c r="BN106" s="58" t="s">
        <v>137</v>
      </c>
      <c r="BO106" s="58" t="s">
        <v>138</v>
      </c>
      <c r="BP106" s="58">
        <f>BP105-$BW$63^2/(2*9.81)</f>
        <v>7.2152760578053021</v>
      </c>
      <c r="BQ106" s="58" t="s">
        <v>29</v>
      </c>
    </row>
    <row r="108" spans="66:76">
      <c r="BN108" s="58" t="s">
        <v>151</v>
      </c>
    </row>
    <row r="109" spans="66:76">
      <c r="BN109" s="58" t="s">
        <v>113</v>
      </c>
      <c r="BO109" s="58" t="s">
        <v>115</v>
      </c>
      <c r="BP109" s="63">
        <f>$AF$28</f>
        <v>1</v>
      </c>
    </row>
    <row r="110" spans="66:76">
      <c r="BN110" s="58" t="s">
        <v>114</v>
      </c>
      <c r="BO110" s="58" t="s">
        <v>116</v>
      </c>
      <c r="BP110" s="58">
        <f>BP109*($BW$63^2/(2*9.81))</f>
        <v>0.16997027223794386</v>
      </c>
    </row>
    <row r="111" spans="66:76">
      <c r="BN111" s="58" t="s">
        <v>117</v>
      </c>
      <c r="BO111" s="58" t="s">
        <v>118</v>
      </c>
      <c r="BP111" s="58">
        <f>BP106+BP110</f>
        <v>7.3852463300432456</v>
      </c>
      <c r="BQ111" s="58" t="s">
        <v>29</v>
      </c>
    </row>
    <row r="112" spans="66:76">
      <c r="BN112" s="58" t="s">
        <v>120</v>
      </c>
      <c r="BO112" s="58" t="s">
        <v>121</v>
      </c>
      <c r="BP112" s="58">
        <f>BP111+(IF($AR$29="",$BW$63,$BW$73)^2/(2*9.81))</f>
        <v>7.5257176294134469</v>
      </c>
      <c r="BQ112" s="58" t="s">
        <v>29</v>
      </c>
    </row>
    <row r="114" spans="66:69">
      <c r="BN114" s="58" t="s">
        <v>152</v>
      </c>
    </row>
    <row r="115" spans="66:69">
      <c r="BN115" s="58" t="s">
        <v>123</v>
      </c>
      <c r="BO115" s="58" t="s">
        <v>124</v>
      </c>
      <c r="BP115" s="60">
        <f>$AP$29*10^-3</f>
        <v>7.6199999999999998E-4</v>
      </c>
      <c r="BQ115" s="58" t="s">
        <v>64</v>
      </c>
    </row>
    <row r="116" spans="66:69">
      <c r="BN116" s="58" t="s">
        <v>125</v>
      </c>
      <c r="BO116" s="58" t="s">
        <v>126</v>
      </c>
      <c r="BP116" s="58">
        <f>1.31*10^-6</f>
        <v>1.31E-6</v>
      </c>
      <c r="BQ116" s="58" t="s">
        <v>139</v>
      </c>
    </row>
    <row r="117" spans="66:69">
      <c r="BN117" s="58" t="s">
        <v>127</v>
      </c>
      <c r="BO117" s="58" t="s">
        <v>128</v>
      </c>
      <c r="BP117" s="58">
        <f>($BW$73*$BW$68/BP116)</f>
        <v>482833.04046154948</v>
      </c>
    </row>
    <row r="118" spans="66:69">
      <c r="BN118" s="58" t="s">
        <v>129</v>
      </c>
      <c r="BO118" s="58" t="s">
        <v>130</v>
      </c>
      <c r="BP118" s="58">
        <f>(1/(-2*LOG10((BP115/(3.7*$BW$68)))+(5.1286/BP117^0.89)))^2</f>
        <v>2.3420174515239429E-2</v>
      </c>
      <c r="BQ118" s="62"/>
    </row>
    <row r="119" spans="66:69">
      <c r="BN119" s="58" t="s">
        <v>131</v>
      </c>
      <c r="BO119" s="58" t="s">
        <v>132</v>
      </c>
      <c r="BP119" s="58">
        <f>BP118*$BW$73^2/(2*9.81*$BW$68)</f>
        <v>8.6348093061222094E-3</v>
      </c>
      <c r="BQ119" s="58" t="s">
        <v>29</v>
      </c>
    </row>
    <row r="120" spans="66:69">
      <c r="BN120" s="58" t="s">
        <v>133</v>
      </c>
      <c r="BO120" s="58" t="s">
        <v>134</v>
      </c>
      <c r="BP120" s="58">
        <f>BP119*$BW$70</f>
        <v>0.31582678518072593</v>
      </c>
      <c r="BQ120" s="58" t="s">
        <v>29</v>
      </c>
    </row>
    <row r="121" spans="66:69">
      <c r="BN121" s="58" t="s">
        <v>135</v>
      </c>
      <c r="BO121" s="58" t="s">
        <v>136</v>
      </c>
      <c r="BP121" s="58">
        <f>BP112+BP120</f>
        <v>7.8415444145941731</v>
      </c>
      <c r="BQ121" s="58" t="s">
        <v>29</v>
      </c>
    </row>
    <row r="122" spans="66:69">
      <c r="BN122" s="58" t="s">
        <v>137</v>
      </c>
      <c r="BO122" s="58" t="s">
        <v>138</v>
      </c>
      <c r="BP122" s="58">
        <f>BP121-$BW$73^2/(2*9.81)</f>
        <v>7.7010731152239718</v>
      </c>
      <c r="BQ122" s="58" t="s">
        <v>29</v>
      </c>
    </row>
    <row r="124" spans="66:69">
      <c r="BN124" s="58" t="s">
        <v>153</v>
      </c>
    </row>
    <row r="125" spans="66:69">
      <c r="BN125" s="58" t="s">
        <v>113</v>
      </c>
      <c r="BO125" s="58" t="s">
        <v>115</v>
      </c>
      <c r="BP125" s="63">
        <f>$AF$29</f>
        <v>1</v>
      </c>
    </row>
    <row r="126" spans="66:69">
      <c r="BN126" s="58" t="s">
        <v>114</v>
      </c>
      <c r="BO126" s="58" t="s">
        <v>116</v>
      </c>
      <c r="BP126" s="58">
        <f>BP125*($BW$73^2/(2*9.81))</f>
        <v>0.1404712993702015</v>
      </c>
    </row>
    <row r="127" spans="66:69">
      <c r="BN127" s="58" t="s">
        <v>117</v>
      </c>
      <c r="BO127" s="58" t="s">
        <v>118</v>
      </c>
      <c r="BP127" s="58">
        <f>BP122+BP126</f>
        <v>7.8415444145941731</v>
      </c>
      <c r="BQ127" s="58" t="s">
        <v>29</v>
      </c>
    </row>
    <row r="128" spans="66:69">
      <c r="BN128" s="58" t="s">
        <v>120</v>
      </c>
      <c r="BO128" s="58" t="s">
        <v>121</v>
      </c>
      <c r="BP128" s="58">
        <f>BP127+(IF($AR$30="",$BW$73,$BW$83)^2/(2*9.81))</f>
        <v>8.1844919228222039</v>
      </c>
      <c r="BQ128" s="58" t="s">
        <v>29</v>
      </c>
    </row>
    <row r="130" spans="66:69">
      <c r="BN130" s="58" t="s">
        <v>154</v>
      </c>
    </row>
    <row r="131" spans="66:69">
      <c r="BN131" s="58" t="s">
        <v>123</v>
      </c>
      <c r="BO131" s="58" t="s">
        <v>124</v>
      </c>
      <c r="BP131" s="60">
        <f>$AP$30*10^-3</f>
        <v>7.6199999999999998E-4</v>
      </c>
      <c r="BQ131" s="58" t="s">
        <v>64</v>
      </c>
    </row>
    <row r="132" spans="66:69">
      <c r="BN132" s="58" t="s">
        <v>125</v>
      </c>
      <c r="BO132" s="58" t="s">
        <v>126</v>
      </c>
      <c r="BP132" s="58">
        <f>1.31*10^-6</f>
        <v>1.31E-6</v>
      </c>
      <c r="BQ132" s="58" t="s">
        <v>139</v>
      </c>
    </row>
    <row r="133" spans="66:69">
      <c r="BN133" s="58" t="s">
        <v>127</v>
      </c>
      <c r="BO133" s="58" t="s">
        <v>128</v>
      </c>
      <c r="BP133" s="58">
        <f>($BW$83*$BW$78/BP132)</f>
        <v>603541.30057693692</v>
      </c>
    </row>
    <row r="134" spans="66:69">
      <c r="BN134" s="58" t="s">
        <v>129</v>
      </c>
      <c r="BO134" s="58" t="s">
        <v>130</v>
      </c>
      <c r="BP134" s="58">
        <f>(1/(-2*LOG10((BP131/(3.7*$BW$78)))+(5.1286/BP133^0.89)))^2</f>
        <v>2.487394920280454E-2</v>
      </c>
      <c r="BQ134" s="62"/>
    </row>
    <row r="135" spans="66:69">
      <c r="BN135" s="58" t="s">
        <v>131</v>
      </c>
      <c r="BO135" s="58" t="s">
        <v>132</v>
      </c>
      <c r="BP135" s="58">
        <f>BP134*$BW$83^2/(2*9.81*$BW$78)</f>
        <v>2.7987069878256027E-2</v>
      </c>
      <c r="BQ135" s="58" t="s">
        <v>29</v>
      </c>
    </row>
    <row r="136" spans="66:69">
      <c r="BN136" s="58" t="s">
        <v>133</v>
      </c>
      <c r="BO136" s="58" t="s">
        <v>134</v>
      </c>
      <c r="BP136" s="58">
        <f>BP135*$BW$80</f>
        <v>0.85304588988924368</v>
      </c>
      <c r="BQ136" s="58" t="s">
        <v>29</v>
      </c>
    </row>
    <row r="137" spans="66:69">
      <c r="BN137" s="58" t="s">
        <v>135</v>
      </c>
      <c r="BO137" s="58" t="s">
        <v>136</v>
      </c>
      <c r="BP137" s="58">
        <f>BP128+BP136</f>
        <v>9.037537812711447</v>
      </c>
      <c r="BQ137" s="58" t="s">
        <v>29</v>
      </c>
    </row>
    <row r="138" spans="66:69">
      <c r="BN138" s="58" t="s">
        <v>137</v>
      </c>
      <c r="BO138" s="58" t="s">
        <v>138</v>
      </c>
      <c r="BP138" s="58">
        <f>BP137-$BW$83^2/(2*9.81)</f>
        <v>8.6945903044834161</v>
      </c>
      <c r="BQ138" s="58" t="s">
        <v>29</v>
      </c>
    </row>
    <row r="140" spans="66:69">
      <c r="BN140" s="58" t="s">
        <v>155</v>
      </c>
    </row>
    <row r="141" spans="66:69">
      <c r="BN141" s="58" t="s">
        <v>113</v>
      </c>
      <c r="BO141" s="58" t="s">
        <v>115</v>
      </c>
      <c r="BP141" s="63">
        <f>$AF$30</f>
        <v>1</v>
      </c>
    </row>
    <row r="142" spans="66:69">
      <c r="BN142" s="58" t="s">
        <v>114</v>
      </c>
      <c r="BO142" s="58" t="s">
        <v>116</v>
      </c>
      <c r="BP142" s="58">
        <f>BP141*($BW$83^2/(2*9.81))</f>
        <v>0.34294750822803116</v>
      </c>
    </row>
    <row r="143" spans="66:69">
      <c r="BN143" s="58" t="s">
        <v>117</v>
      </c>
      <c r="BO143" s="58" t="s">
        <v>118</v>
      </c>
      <c r="BP143" s="58">
        <f>BP138+BP142</f>
        <v>9.037537812711447</v>
      </c>
      <c r="BQ143" s="58" t="s">
        <v>29</v>
      </c>
    </row>
    <row r="144" spans="66:69">
      <c r="BN144" s="58" t="s">
        <v>120</v>
      </c>
      <c r="BO144" s="58" t="s">
        <v>121</v>
      </c>
      <c r="BP144" s="58">
        <f>BP143+(IF($AR$31="",$BW$83,$BW$93)^2/(2*9.81))</f>
        <v>9.2570242179773867</v>
      </c>
      <c r="BQ144" s="58" t="s">
        <v>29</v>
      </c>
    </row>
    <row r="146" spans="66:69">
      <c r="BN146" s="58" t="s">
        <v>156</v>
      </c>
    </row>
    <row r="147" spans="66:69">
      <c r="BN147" s="58" t="s">
        <v>123</v>
      </c>
      <c r="BO147" s="58" t="s">
        <v>124</v>
      </c>
      <c r="BP147" s="60">
        <f>$AP$31*10^-3</f>
        <v>7.6199999999999998E-4</v>
      </c>
      <c r="BQ147" s="58" t="s">
        <v>64</v>
      </c>
    </row>
    <row r="148" spans="66:69">
      <c r="BN148" s="58" t="s">
        <v>125</v>
      </c>
      <c r="BO148" s="58" t="s">
        <v>126</v>
      </c>
      <c r="BP148" s="58">
        <f>1.31*10^-6</f>
        <v>1.31E-6</v>
      </c>
      <c r="BQ148" s="58" t="s">
        <v>139</v>
      </c>
    </row>
    <row r="149" spans="66:69">
      <c r="BN149" s="58" t="s">
        <v>127</v>
      </c>
      <c r="BO149" s="58" t="s">
        <v>128</v>
      </c>
      <c r="BP149" s="58">
        <f>($BW$93*$BW$88/BP148)</f>
        <v>482833.04046154965</v>
      </c>
    </row>
    <row r="150" spans="66:69">
      <c r="BN150" s="58" t="s">
        <v>129</v>
      </c>
      <c r="BO150" s="58" t="s">
        <v>130</v>
      </c>
      <c r="BP150" s="58">
        <f>(1/(-2*LOG10((BP147/(3.7*$BW$88)))+(5.1286/BP149^0.89)))^2</f>
        <v>2.4873885870008404E-2</v>
      </c>
      <c r="BQ150" s="62"/>
    </row>
    <row r="151" spans="66:69">
      <c r="BN151" s="58" t="s">
        <v>131</v>
      </c>
      <c r="BO151" s="58" t="s">
        <v>132</v>
      </c>
      <c r="BP151" s="58">
        <f>BP150*$BW$93^2/(2*9.81*$BW$88)</f>
        <v>1.7911679116152893E-2</v>
      </c>
      <c r="BQ151" s="58" t="s">
        <v>29</v>
      </c>
    </row>
    <row r="152" spans="66:69">
      <c r="BN152" s="58" t="s">
        <v>133</v>
      </c>
      <c r="BO152" s="58" t="s">
        <v>134</v>
      </c>
      <c r="BP152" s="58">
        <f>BP151*$BW$90</f>
        <v>0.54594797946034013</v>
      </c>
      <c r="BQ152" s="58" t="s">
        <v>29</v>
      </c>
    </row>
    <row r="153" spans="66:69">
      <c r="BN153" s="58" t="s">
        <v>135</v>
      </c>
      <c r="BO153" s="58" t="s">
        <v>136</v>
      </c>
      <c r="BP153" s="58">
        <f>BP144+BP152</f>
        <v>9.8029721974377271</v>
      </c>
      <c r="BQ153" s="58" t="s">
        <v>29</v>
      </c>
    </row>
    <row r="154" spans="66:69">
      <c r="BN154" s="58" t="s">
        <v>137</v>
      </c>
      <c r="BO154" s="58" t="s">
        <v>138</v>
      </c>
      <c r="BP154" s="58">
        <f>BP153-$BW$93^2/(2*9.81)</f>
        <v>9.5834857921717873</v>
      </c>
      <c r="BQ154" s="58" t="s">
        <v>29</v>
      </c>
    </row>
    <row r="156" spans="66:69">
      <c r="BN156" s="58" t="s">
        <v>157</v>
      </c>
    </row>
    <row r="157" spans="66:69">
      <c r="BN157" s="58" t="s">
        <v>113</v>
      </c>
      <c r="BO157" s="58" t="s">
        <v>115</v>
      </c>
      <c r="BP157" s="63">
        <f>$AF$31</f>
        <v>1</v>
      </c>
    </row>
    <row r="158" spans="66:69">
      <c r="BN158" s="58" t="s">
        <v>114</v>
      </c>
      <c r="BO158" s="58" t="s">
        <v>116</v>
      </c>
      <c r="BP158" s="58">
        <f>BP157*($BW$93^2/(2*9.81))</f>
        <v>0.21948640526593996</v>
      </c>
    </row>
    <row r="159" spans="66:69">
      <c r="BN159" s="58" t="s">
        <v>117</v>
      </c>
      <c r="BO159" s="58" t="s">
        <v>118</v>
      </c>
      <c r="BP159" s="58">
        <f>BP154+BP158</f>
        <v>9.8029721974377271</v>
      </c>
      <c r="BQ159" s="58" t="s">
        <v>29</v>
      </c>
    </row>
    <row r="160" spans="66:69">
      <c r="BN160" s="58" t="s">
        <v>120</v>
      </c>
      <c r="BO160" s="58" t="s">
        <v>121</v>
      </c>
      <c r="BP160" s="58">
        <f>BP159+(IF($AR$32="",$BW$93,$BW$103)^2/(2*9.81))</f>
        <v>9.9264333003998182</v>
      </c>
      <c r="BQ160" s="58" t="s">
        <v>29</v>
      </c>
    </row>
    <row r="162" spans="66:69">
      <c r="BN162" s="58" t="s">
        <v>158</v>
      </c>
    </row>
    <row r="163" spans="66:69">
      <c r="BN163" s="58" t="s">
        <v>123</v>
      </c>
      <c r="BO163" s="58" t="s">
        <v>124</v>
      </c>
      <c r="BP163" s="60">
        <f>$AP$32*10^-3</f>
        <v>7.6199999999999998E-4</v>
      </c>
      <c r="BQ163" s="58" t="s">
        <v>64</v>
      </c>
    </row>
    <row r="164" spans="66:69">
      <c r="BN164" s="58" t="s">
        <v>125</v>
      </c>
      <c r="BO164" s="58" t="s">
        <v>126</v>
      </c>
      <c r="BP164" s="58">
        <f>1.31*10^-6</f>
        <v>1.31E-6</v>
      </c>
      <c r="BQ164" s="58" t="s">
        <v>139</v>
      </c>
    </row>
    <row r="165" spans="66:69">
      <c r="BN165" s="58" t="s">
        <v>127</v>
      </c>
      <c r="BO165" s="58" t="s">
        <v>128</v>
      </c>
      <c r="BP165" s="58">
        <f>($BW$103*$BW$98/BP164)</f>
        <v>362124.78034616221</v>
      </c>
    </row>
    <row r="166" spans="66:69">
      <c r="BN166" s="58" t="s">
        <v>129</v>
      </c>
      <c r="BO166" s="58" t="s">
        <v>130</v>
      </c>
      <c r="BP166" s="58">
        <f>(1/(-2*LOG10((BP163/(3.7*$BW$98)))+(5.1286/BP165^0.89)))^2</f>
        <v>2.4873783269438024E-2</v>
      </c>
      <c r="BQ166" s="62"/>
    </row>
    <row r="167" spans="66:69">
      <c r="BN167" s="58" t="s">
        <v>131</v>
      </c>
      <c r="BO167" s="58" t="s">
        <v>132</v>
      </c>
      <c r="BP167" s="58">
        <f>BP166*$BW$103^2/(2*9.81*$BW$98)</f>
        <v>1.0075277943847867E-2</v>
      </c>
      <c r="BQ167" s="58" t="s">
        <v>29</v>
      </c>
    </row>
    <row r="168" spans="66:69">
      <c r="BN168" s="58" t="s">
        <v>133</v>
      </c>
      <c r="BO168" s="58" t="s">
        <v>134</v>
      </c>
      <c r="BP168" s="58">
        <f>BP167*$BW$100</f>
        <v>0.30709447172848298</v>
      </c>
      <c r="BQ168" s="58" t="s">
        <v>29</v>
      </c>
    </row>
    <row r="169" spans="66:69">
      <c r="BN169" s="58" t="s">
        <v>135</v>
      </c>
      <c r="BO169" s="58" t="s">
        <v>136</v>
      </c>
      <c r="BP169" s="58">
        <f>BP160+BP168</f>
        <v>10.233527772128301</v>
      </c>
      <c r="BQ169" s="58" t="s">
        <v>29</v>
      </c>
    </row>
    <row r="170" spans="66:69">
      <c r="BN170" s="58" t="s">
        <v>137</v>
      </c>
      <c r="BO170" s="58" t="s">
        <v>138</v>
      </c>
      <c r="BP170" s="58">
        <f>BP169-$BW$103^2/(2*9.81)</f>
        <v>10.11006666916621</v>
      </c>
      <c r="BQ170" s="58" t="s">
        <v>29</v>
      </c>
    </row>
    <row r="172" spans="66:69">
      <c r="BN172" s="58" t="s">
        <v>159</v>
      </c>
    </row>
    <row r="173" spans="66:69">
      <c r="BN173" s="58" t="s">
        <v>113</v>
      </c>
      <c r="BO173" s="58" t="s">
        <v>115</v>
      </c>
      <c r="BP173" s="63">
        <f>$AF$32</f>
        <v>1</v>
      </c>
    </row>
    <row r="174" spans="66:69">
      <c r="BN174" s="58" t="s">
        <v>114</v>
      </c>
      <c r="BO174" s="58" t="s">
        <v>116</v>
      </c>
      <c r="BP174" s="58">
        <f>BP173*($BW$103^2/(2*9.81))</f>
        <v>0.12346110296209124</v>
      </c>
    </row>
    <row r="175" spans="66:69">
      <c r="BN175" s="58" t="s">
        <v>117</v>
      </c>
      <c r="BO175" s="58" t="s">
        <v>118</v>
      </c>
      <c r="BP175" s="58">
        <f>BP170+BP174</f>
        <v>10.233527772128301</v>
      </c>
      <c r="BQ175" s="58" t="s">
        <v>29</v>
      </c>
    </row>
    <row r="176" spans="66:69">
      <c r="BN176" s="58" t="s">
        <v>120</v>
      </c>
      <c r="BO176" s="58" t="s">
        <v>121</v>
      </c>
      <c r="BP176" s="58">
        <f>BP175+($BW$103^2/(2*9.81))</f>
        <v>10.356988875090392</v>
      </c>
      <c r="BQ176" s="58" t="s">
        <v>29</v>
      </c>
    </row>
  </sheetData>
  <sheetProtection algorithmName="SHA-512" hashValue="AJZQgSTt/Awb7lUtHsP21s+a63xZHoVTGDQZ2Jpc/ycMa3NRLRETeYOkh78H05jkRL51keAwp/Iu9L+MJ/IFGA==" saltValue="qyhrGVdW6B0Qq+K1V12qlg==" spinCount="100000" sheet="1" objects="1" scenarios="1" selectLockedCells="1"/>
  <mergeCells count="491">
    <mergeCell ref="AF61:AJ61"/>
    <mergeCell ref="AL60:AN60"/>
    <mergeCell ref="AO60:AQ60"/>
    <mergeCell ref="AR60:AT60"/>
    <mergeCell ref="H61:J61"/>
    <mergeCell ref="AX60:AZ60"/>
    <mergeCell ref="AU60:AW60"/>
    <mergeCell ref="BA58:BC58"/>
    <mergeCell ref="AL58:AN58"/>
    <mergeCell ref="AL59:AN59"/>
    <mergeCell ref="AO58:AQ58"/>
    <mergeCell ref="AO59:AQ59"/>
    <mergeCell ref="AR58:AT58"/>
    <mergeCell ref="AR59:AT59"/>
    <mergeCell ref="BA60:BC60"/>
    <mergeCell ref="AF59:AJ59"/>
    <mergeCell ref="H60:J60"/>
    <mergeCell ref="AX59:AZ59"/>
    <mergeCell ref="AU59:AW59"/>
    <mergeCell ref="BA59:BC59"/>
    <mergeCell ref="AF60:AJ60"/>
    <mergeCell ref="K60:M60"/>
    <mergeCell ref="N60:P60"/>
    <mergeCell ref="Q60:S60"/>
    <mergeCell ref="BA57:BC57"/>
    <mergeCell ref="AF58:AJ58"/>
    <mergeCell ref="H57:J57"/>
    <mergeCell ref="K58:M58"/>
    <mergeCell ref="N58:P58"/>
    <mergeCell ref="Q58:S58"/>
    <mergeCell ref="AX58:AZ58"/>
    <mergeCell ref="AU58:AW58"/>
    <mergeCell ref="K57:M57"/>
    <mergeCell ref="N57:P57"/>
    <mergeCell ref="Q57:S57"/>
    <mergeCell ref="T57:V57"/>
    <mergeCell ref="W57:Y57"/>
    <mergeCell ref="Z57:AB57"/>
    <mergeCell ref="T58:V58"/>
    <mergeCell ref="W58:Y58"/>
    <mergeCell ref="Z58:AB58"/>
    <mergeCell ref="AL57:AN57"/>
    <mergeCell ref="AO57:AQ57"/>
    <mergeCell ref="H59:J59"/>
    <mergeCell ref="AR57:AT57"/>
    <mergeCell ref="AF57:AJ57"/>
    <mergeCell ref="H58:J58"/>
    <mergeCell ref="AX57:AZ57"/>
    <mergeCell ref="AU57:AW57"/>
    <mergeCell ref="K59:M59"/>
    <mergeCell ref="AL55:AN55"/>
    <mergeCell ref="N59:P59"/>
    <mergeCell ref="Q59:S59"/>
    <mergeCell ref="T59:V59"/>
    <mergeCell ref="W59:Y59"/>
    <mergeCell ref="Z59:AB59"/>
    <mergeCell ref="AO55:AQ55"/>
    <mergeCell ref="T55:V55"/>
    <mergeCell ref="W55:Y55"/>
    <mergeCell ref="Z55:AB55"/>
    <mergeCell ref="BA55:BC55"/>
    <mergeCell ref="AF56:AJ56"/>
    <mergeCell ref="H55:J55"/>
    <mergeCell ref="K55:M55"/>
    <mergeCell ref="N55:P55"/>
    <mergeCell ref="Q55:S55"/>
    <mergeCell ref="AX56:AZ56"/>
    <mergeCell ref="AU56:AW56"/>
    <mergeCell ref="BA56:BC56"/>
    <mergeCell ref="AR56:AT56"/>
    <mergeCell ref="K56:M56"/>
    <mergeCell ref="N56:P56"/>
    <mergeCell ref="Q56:S56"/>
    <mergeCell ref="T56:V56"/>
    <mergeCell ref="W56:Y56"/>
    <mergeCell ref="Z56:AB56"/>
    <mergeCell ref="AL56:AN56"/>
    <mergeCell ref="AO56:AQ56"/>
    <mergeCell ref="AR55:AT55"/>
    <mergeCell ref="AF55:AJ55"/>
    <mergeCell ref="H56:J56"/>
    <mergeCell ref="AX55:AZ55"/>
    <mergeCell ref="AU55:AW55"/>
    <mergeCell ref="BA53:BC53"/>
    <mergeCell ref="AF54:AJ54"/>
    <mergeCell ref="AL53:AN53"/>
    <mergeCell ref="AO53:AQ53"/>
    <mergeCell ref="AR53:AT53"/>
    <mergeCell ref="AX52:AZ52"/>
    <mergeCell ref="AU52:AW52"/>
    <mergeCell ref="BA52:BC52"/>
    <mergeCell ref="AF53:AJ53"/>
    <mergeCell ref="AL52:AN52"/>
    <mergeCell ref="AX53:AZ53"/>
    <mergeCell ref="AU53:AW53"/>
    <mergeCell ref="AO52:AQ52"/>
    <mergeCell ref="AR52:AT52"/>
    <mergeCell ref="AX54:AZ54"/>
    <mergeCell ref="AU54:AW54"/>
    <mergeCell ref="BA54:BC54"/>
    <mergeCell ref="AR54:AT54"/>
    <mergeCell ref="AL54:AN54"/>
    <mergeCell ref="AO54:AQ54"/>
    <mergeCell ref="AF38:AJ38"/>
    <mergeCell ref="AF39:AJ39"/>
    <mergeCell ref="AF40:AJ40"/>
    <mergeCell ref="H36:J37"/>
    <mergeCell ref="H50:J51"/>
    <mergeCell ref="W50:Y51"/>
    <mergeCell ref="T50:V51"/>
    <mergeCell ref="Z50:AB51"/>
    <mergeCell ref="K50:M51"/>
    <mergeCell ref="N50:P51"/>
    <mergeCell ref="Q50:S51"/>
    <mergeCell ref="P36:R37"/>
    <mergeCell ref="H45:J45"/>
    <mergeCell ref="H46:J46"/>
    <mergeCell ref="H47:J47"/>
    <mergeCell ref="H48:J48"/>
    <mergeCell ref="M46:O46"/>
    <mergeCell ref="P46:R46"/>
    <mergeCell ref="S46:U46"/>
    <mergeCell ref="M47:O47"/>
    <mergeCell ref="P47:R47"/>
    <mergeCell ref="S47:U47"/>
    <mergeCell ref="S44:U44"/>
    <mergeCell ref="M45:O45"/>
    <mergeCell ref="AU51:AW51"/>
    <mergeCell ref="BA51:BC51"/>
    <mergeCell ref="AF52:AJ52"/>
    <mergeCell ref="AL51:AN51"/>
    <mergeCell ref="AO51:AQ51"/>
    <mergeCell ref="AR51:AT51"/>
    <mergeCell ref="AF43:AJ43"/>
    <mergeCell ref="AF44:AJ44"/>
    <mergeCell ref="AF45:AJ45"/>
    <mergeCell ref="AF47:AJ47"/>
    <mergeCell ref="AF46:AJ46"/>
    <mergeCell ref="AT46:AV46"/>
    <mergeCell ref="AT47:AV47"/>
    <mergeCell ref="AT48:AV48"/>
    <mergeCell ref="AQ43:AS43"/>
    <mergeCell ref="AX51:AZ51"/>
    <mergeCell ref="AT45:AV45"/>
    <mergeCell ref="AN46:AP46"/>
    <mergeCell ref="AN47:AP47"/>
    <mergeCell ref="AQ44:AS44"/>
    <mergeCell ref="AQ45:AS45"/>
    <mergeCell ref="AQ46:AS46"/>
    <mergeCell ref="AQ47:AS47"/>
    <mergeCell ref="AQ48:AS48"/>
    <mergeCell ref="AW23:AX23"/>
    <mergeCell ref="AW24:AX24"/>
    <mergeCell ref="AW25:AX25"/>
    <mergeCell ref="AW26:AX26"/>
    <mergeCell ref="AW27:AX27"/>
    <mergeCell ref="AW28:AX28"/>
    <mergeCell ref="AW29:AX29"/>
    <mergeCell ref="AW30:AX30"/>
    <mergeCell ref="AT29:AV29"/>
    <mergeCell ref="AT30:AV30"/>
    <mergeCell ref="AT24:AV24"/>
    <mergeCell ref="AT25:AV25"/>
    <mergeCell ref="AT28:AV28"/>
    <mergeCell ref="AT23:AV23"/>
    <mergeCell ref="AT38:AV38"/>
    <mergeCell ref="AT39:AV39"/>
    <mergeCell ref="AT40:AV40"/>
    <mergeCell ref="AT41:AV41"/>
    <mergeCell ref="AT42:AV42"/>
    <mergeCell ref="AT43:AV43"/>
    <mergeCell ref="AT44:AV44"/>
    <mergeCell ref="H38:J38"/>
    <mergeCell ref="H39:J39"/>
    <mergeCell ref="H40:J40"/>
    <mergeCell ref="H41:J41"/>
    <mergeCell ref="AQ40:AS40"/>
    <mergeCell ref="AQ38:AS38"/>
    <mergeCell ref="AQ39:AS39"/>
    <mergeCell ref="AN44:AP44"/>
    <mergeCell ref="M38:O38"/>
    <mergeCell ref="P38:R38"/>
    <mergeCell ref="S38:U38"/>
    <mergeCell ref="M39:O39"/>
    <mergeCell ref="P39:R39"/>
    <mergeCell ref="S39:U39"/>
    <mergeCell ref="M40:O40"/>
    <mergeCell ref="M44:O44"/>
    <mergeCell ref="P44:R44"/>
    <mergeCell ref="AF32:AG32"/>
    <mergeCell ref="AL32:AM32"/>
    <mergeCell ref="AN32:AO32"/>
    <mergeCell ref="G21:H22"/>
    <mergeCell ref="AR23:AS23"/>
    <mergeCell ref="V31:AE31"/>
    <mergeCell ref="S36:U37"/>
    <mergeCell ref="AF48:AJ48"/>
    <mergeCell ref="K36:L37"/>
    <mergeCell ref="AL38:AM38"/>
    <mergeCell ref="AL39:AM39"/>
    <mergeCell ref="AF41:AJ41"/>
    <mergeCell ref="AF42:AJ42"/>
    <mergeCell ref="AN38:AP38"/>
    <mergeCell ref="AN39:AP39"/>
    <mergeCell ref="AN40:AP40"/>
    <mergeCell ref="AN41:AP41"/>
    <mergeCell ref="AN42:AP42"/>
    <mergeCell ref="AN43:AP43"/>
    <mergeCell ref="AN45:AP45"/>
    <mergeCell ref="AL40:AM40"/>
    <mergeCell ref="K43:L43"/>
    <mergeCell ref="K44:L44"/>
    <mergeCell ref="K45:L45"/>
    <mergeCell ref="M43:O43"/>
    <mergeCell ref="P43:R43"/>
    <mergeCell ref="S43:U43"/>
    <mergeCell ref="K46:L46"/>
    <mergeCell ref="K47:L47"/>
    <mergeCell ref="K42:L42"/>
    <mergeCell ref="H54:J54"/>
    <mergeCell ref="H19:V19"/>
    <mergeCell ref="W19:X19"/>
    <mergeCell ref="V32:AE32"/>
    <mergeCell ref="V21:AE22"/>
    <mergeCell ref="K54:M54"/>
    <mergeCell ref="N54:P54"/>
    <mergeCell ref="Q54:S54"/>
    <mergeCell ref="T54:V54"/>
    <mergeCell ref="W54:Y54"/>
    <mergeCell ref="Z54:AB54"/>
    <mergeCell ref="P45:R45"/>
    <mergeCell ref="S45:U45"/>
    <mergeCell ref="Q21:S22"/>
    <mergeCell ref="O21:P22"/>
    <mergeCell ref="O23:P23"/>
    <mergeCell ref="O24:P24"/>
    <mergeCell ref="M24:N24"/>
    <mergeCell ref="AT32:AV32"/>
    <mergeCell ref="AP32:AQ32"/>
    <mergeCell ref="AN26:AO26"/>
    <mergeCell ref="H52:J52"/>
    <mergeCell ref="H53:J53"/>
    <mergeCell ref="H42:J42"/>
    <mergeCell ref="H43:J43"/>
    <mergeCell ref="H44:J44"/>
    <mergeCell ref="AQ41:AS41"/>
    <mergeCell ref="AL47:AM47"/>
    <mergeCell ref="AL48:AM48"/>
    <mergeCell ref="AN48:AP48"/>
    <mergeCell ref="AL42:AM42"/>
    <mergeCell ref="AL43:AM43"/>
    <mergeCell ref="AL44:AM44"/>
    <mergeCell ref="AL45:AM45"/>
    <mergeCell ref="AL46:AM46"/>
    <mergeCell ref="AL41:AM41"/>
    <mergeCell ref="M42:O42"/>
    <mergeCell ref="P42:R42"/>
    <mergeCell ref="S42:U42"/>
    <mergeCell ref="AT26:AV26"/>
    <mergeCell ref="AT27:AV27"/>
    <mergeCell ref="AQ42:AS42"/>
    <mergeCell ref="AW31:AX31"/>
    <mergeCell ref="AF29:AG29"/>
    <mergeCell ref="AF30:AG30"/>
    <mergeCell ref="AF24:AG24"/>
    <mergeCell ref="AF25:AG25"/>
    <mergeCell ref="AF26:AG26"/>
    <mergeCell ref="AF27:AG27"/>
    <mergeCell ref="AF28:AG28"/>
    <mergeCell ref="AP25:AQ25"/>
    <mergeCell ref="AP26:AQ26"/>
    <mergeCell ref="AP27:AQ27"/>
    <mergeCell ref="AF31:AG31"/>
    <mergeCell ref="AP29:AQ29"/>
    <mergeCell ref="AL30:AM30"/>
    <mergeCell ref="AL31:AM31"/>
    <mergeCell ref="AN31:AO31"/>
    <mergeCell ref="AP30:AQ30"/>
    <mergeCell ref="AP31:AQ31"/>
    <mergeCell ref="AR24:AS24"/>
    <mergeCell ref="AN25:AO25"/>
    <mergeCell ref="AT31:AV31"/>
    <mergeCell ref="AW32:AX32"/>
    <mergeCell ref="T31:U31"/>
    <mergeCell ref="O25:P25"/>
    <mergeCell ref="O26:P26"/>
    <mergeCell ref="O27:P27"/>
    <mergeCell ref="O28:P28"/>
    <mergeCell ref="O29:P29"/>
    <mergeCell ref="O30:P30"/>
    <mergeCell ref="AL25:AM25"/>
    <mergeCell ref="V25:AE25"/>
    <mergeCell ref="V26:AE26"/>
    <mergeCell ref="V27:AE27"/>
    <mergeCell ref="V28:AE28"/>
    <mergeCell ref="AR31:AS31"/>
    <mergeCell ref="AR32:AS32"/>
    <mergeCell ref="AR25:AS25"/>
    <mergeCell ref="AR26:AS26"/>
    <mergeCell ref="AR27:AS27"/>
    <mergeCell ref="AR28:AS28"/>
    <mergeCell ref="Q30:S30"/>
    <mergeCell ref="Q31:S31"/>
    <mergeCell ref="O31:P31"/>
    <mergeCell ref="V29:AE29"/>
    <mergeCell ref="V30:AE30"/>
    <mergeCell ref="E21:F22"/>
    <mergeCell ref="E25:F25"/>
    <mergeCell ref="E26:F26"/>
    <mergeCell ref="E27:F27"/>
    <mergeCell ref="E28:F28"/>
    <mergeCell ref="E29:F29"/>
    <mergeCell ref="E30:F30"/>
    <mergeCell ref="E31:F31"/>
    <mergeCell ref="E32:F32"/>
    <mergeCell ref="AP23:AQ23"/>
    <mergeCell ref="AR29:AS29"/>
    <mergeCell ref="AR30:AS30"/>
    <mergeCell ref="T30:U30"/>
    <mergeCell ref="AF21:AG22"/>
    <mergeCell ref="AF23:AG23"/>
    <mergeCell ref="V24:AE24"/>
    <mergeCell ref="V23:AE23"/>
    <mergeCell ref="T21:U22"/>
    <mergeCell ref="AL26:AM26"/>
    <mergeCell ref="AL27:AM27"/>
    <mergeCell ref="AL28:AM28"/>
    <mergeCell ref="AL29:AM29"/>
    <mergeCell ref="AN27:AO27"/>
    <mergeCell ref="AN28:AO28"/>
    <mergeCell ref="AN29:AO29"/>
    <mergeCell ref="AN30:AO30"/>
    <mergeCell ref="AP28:AQ28"/>
    <mergeCell ref="AL24:AM24"/>
    <mergeCell ref="AL19:AN19"/>
    <mergeCell ref="AL18:AN18"/>
    <mergeCell ref="AO18:AQ18"/>
    <mergeCell ref="H16:V16"/>
    <mergeCell ref="H9:V9"/>
    <mergeCell ref="Z5:AE5"/>
    <mergeCell ref="AF5:AJ5"/>
    <mergeCell ref="W12:X12"/>
    <mergeCell ref="AL12:AN12"/>
    <mergeCell ref="AO12:AQ12"/>
    <mergeCell ref="Y9:AA9"/>
    <mergeCell ref="AB9:AD9"/>
    <mergeCell ref="AN23:AO23"/>
    <mergeCell ref="AN24:AO24"/>
    <mergeCell ref="AO9:AQ9"/>
    <mergeCell ref="AL9:AN9"/>
    <mergeCell ref="W9:X9"/>
    <mergeCell ref="B2:F5"/>
    <mergeCell ref="G2:L2"/>
    <mergeCell ref="M2:AE2"/>
    <mergeCell ref="AF2:AJ2"/>
    <mergeCell ref="AP24:AQ24"/>
    <mergeCell ref="W10:X10"/>
    <mergeCell ref="AL10:AN10"/>
    <mergeCell ref="AO10:AQ10"/>
    <mergeCell ref="W11:X11"/>
    <mergeCell ref="AL11:AN11"/>
    <mergeCell ref="AO11:AQ11"/>
    <mergeCell ref="Y10:AA10"/>
    <mergeCell ref="AB10:AD10"/>
    <mergeCell ref="Y11:AA11"/>
    <mergeCell ref="E23:F23"/>
    <mergeCell ref="E24:F24"/>
    <mergeCell ref="I21:J22"/>
    <mergeCell ref="AL23:AM23"/>
    <mergeCell ref="AO19:AQ19"/>
    <mergeCell ref="M21:N22"/>
    <mergeCell ref="G23:H23"/>
    <mergeCell ref="AF3:AJ3"/>
    <mergeCell ref="G4:AE4"/>
    <mergeCell ref="AF4:AJ4"/>
    <mergeCell ref="G5:L5"/>
    <mergeCell ref="M5:S5"/>
    <mergeCell ref="T5:Y5"/>
    <mergeCell ref="AF1:AJ1"/>
    <mergeCell ref="K21:L22"/>
    <mergeCell ref="W16:AD16"/>
    <mergeCell ref="H17:V17"/>
    <mergeCell ref="W17:X17"/>
    <mergeCell ref="Y17:AA17"/>
    <mergeCell ref="AB17:AD17"/>
    <mergeCell ref="H18:V18"/>
    <mergeCell ref="W18:X18"/>
    <mergeCell ref="B1:F1"/>
    <mergeCell ref="G1:AE1"/>
    <mergeCell ref="AB11:AD11"/>
    <mergeCell ref="Y12:AA12"/>
    <mergeCell ref="AB12:AD12"/>
    <mergeCell ref="Y18:AA18"/>
    <mergeCell ref="AB18:AD18"/>
    <mergeCell ref="Y19:AA19"/>
    <mergeCell ref="AB19:AD19"/>
    <mergeCell ref="G3:L3"/>
    <mergeCell ref="M3:AE3"/>
    <mergeCell ref="H10:V10"/>
    <mergeCell ref="H11:V11"/>
    <mergeCell ref="H12:V12"/>
    <mergeCell ref="G25:H25"/>
    <mergeCell ref="G26:H26"/>
    <mergeCell ref="G27:H27"/>
    <mergeCell ref="G28:H28"/>
    <mergeCell ref="G29:H29"/>
    <mergeCell ref="K23:L23"/>
    <mergeCell ref="K24:L24"/>
    <mergeCell ref="K25:L25"/>
    <mergeCell ref="K26:L26"/>
    <mergeCell ref="K27:L27"/>
    <mergeCell ref="G24:H24"/>
    <mergeCell ref="I23:J23"/>
    <mergeCell ref="I24:J24"/>
    <mergeCell ref="I25:J25"/>
    <mergeCell ref="I26:J26"/>
    <mergeCell ref="I27:J27"/>
    <mergeCell ref="I28:J28"/>
    <mergeCell ref="I29:J29"/>
    <mergeCell ref="K28:L28"/>
    <mergeCell ref="K29:L29"/>
    <mergeCell ref="I30:J30"/>
    <mergeCell ref="I31:J31"/>
    <mergeCell ref="I32:J32"/>
    <mergeCell ref="K30:L30"/>
    <mergeCell ref="K31:L31"/>
    <mergeCell ref="K32:L32"/>
    <mergeCell ref="G30:H30"/>
    <mergeCell ref="G31:H31"/>
    <mergeCell ref="G32:H32"/>
    <mergeCell ref="M31:N31"/>
    <mergeCell ref="M32:N32"/>
    <mergeCell ref="Q32:S32"/>
    <mergeCell ref="T23:U23"/>
    <mergeCell ref="T24:U24"/>
    <mergeCell ref="T25:U25"/>
    <mergeCell ref="T26:U26"/>
    <mergeCell ref="T27:U27"/>
    <mergeCell ref="T28:U28"/>
    <mergeCell ref="T29:U29"/>
    <mergeCell ref="M25:N25"/>
    <mergeCell ref="M26:N26"/>
    <mergeCell ref="M27:N27"/>
    <mergeCell ref="M28:N28"/>
    <mergeCell ref="M29:N29"/>
    <mergeCell ref="M30:N30"/>
    <mergeCell ref="Q23:S23"/>
    <mergeCell ref="Q24:S24"/>
    <mergeCell ref="Q25:S25"/>
    <mergeCell ref="Q26:S26"/>
    <mergeCell ref="Q27:S27"/>
    <mergeCell ref="Q28:S28"/>
    <mergeCell ref="Q29:S29"/>
    <mergeCell ref="M23:N23"/>
    <mergeCell ref="T32:U32"/>
    <mergeCell ref="K38:L38"/>
    <mergeCell ref="K39:L39"/>
    <mergeCell ref="K40:L40"/>
    <mergeCell ref="P40:R40"/>
    <mergeCell ref="S40:U40"/>
    <mergeCell ref="O32:P32"/>
    <mergeCell ref="M36:O37"/>
    <mergeCell ref="S41:U41"/>
    <mergeCell ref="K41:L41"/>
    <mergeCell ref="M41:O41"/>
    <mergeCell ref="P41:R41"/>
    <mergeCell ref="W52:Y52"/>
    <mergeCell ref="Z52:AB52"/>
    <mergeCell ref="K53:M53"/>
    <mergeCell ref="N53:P53"/>
    <mergeCell ref="Q53:S53"/>
    <mergeCell ref="T53:V53"/>
    <mergeCell ref="W53:Y53"/>
    <mergeCell ref="Z53:AB53"/>
    <mergeCell ref="M48:O48"/>
    <mergeCell ref="P48:R48"/>
    <mergeCell ref="S48:U48"/>
    <mergeCell ref="K52:M52"/>
    <mergeCell ref="N52:P52"/>
    <mergeCell ref="Q52:S52"/>
    <mergeCell ref="T52:V52"/>
    <mergeCell ref="K48:L48"/>
    <mergeCell ref="T60:V60"/>
    <mergeCell ref="W60:Y60"/>
    <mergeCell ref="Z60:AB60"/>
    <mergeCell ref="K61:M61"/>
    <mergeCell ref="N61:P61"/>
    <mergeCell ref="Q61:S61"/>
    <mergeCell ref="T61:V61"/>
    <mergeCell ref="W61:Y61"/>
    <mergeCell ref="Z61:AB61"/>
  </mergeCells>
  <conditionalFormatting sqref="AR26:AS32 AF38:AK44 AN38:BA44 AF45:BA48 AF52:BA61">
    <cfRule type="cellIs" dxfId="1" priority="1" operator="equal">
      <formula>"HGL Too High"</formula>
    </cfRule>
    <cfRule type="expression" dxfId="0" priority="2">
      <formula>#REF!="Too Small"</formula>
    </cfRule>
  </conditionalFormatting>
  <dataValidations count="2">
    <dataValidation type="list" allowBlank="1" showInputMessage="1" showErrorMessage="1" sqref="W16" xr:uid="{554DE850-244D-49C2-AB19-532B80D57360}">
      <formula1>$BC$29:$BC$32</formula1>
    </dataValidation>
    <dataValidation type="list" allowBlank="1" showInputMessage="1" showErrorMessage="1" sqref="V23:AD32" xr:uid="{617222C7-CD20-4292-96D2-A1D55FE1A55F}">
      <formula1>$BC$9:$BC$22</formula1>
    </dataValidation>
  </dataValidations>
  <pageMargins left="0.7" right="0.7" top="0.75" bottom="0.75" header="0.3" footer="0.3"/>
  <pageSetup paperSize="9" scale="67" orientation="portrait" r:id="rId1"/>
  <headerFooter>
    <oddHeader>&amp;C&amp;"-,Bold"&amp;UColebrook-White Calculation</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Metric</vt:lpstr>
      <vt:lpstr>UK</vt:lpstr>
      <vt:lpstr>HK</vt:lpstr>
      <vt:lpstr>US</vt:lpstr>
      <vt:lpstr>Cover!Print_Area</vt:lpstr>
      <vt:lpstr>HK!Print_Area</vt:lpstr>
      <vt:lpstr>Metric!Print_Area</vt:lpstr>
      <vt:lpstr>UK!Print_Area</vt:lpstr>
      <vt:lpstr>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cp:lastModifiedBy>
  <dcterms:created xsi:type="dcterms:W3CDTF">2017-01-17T19:38:42Z</dcterms:created>
  <dcterms:modified xsi:type="dcterms:W3CDTF">2026-04-28T19:58:40Z</dcterms:modified>
</cp:coreProperties>
</file>